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5 Z RAPORLARI\"/>
    </mc:Choice>
  </mc:AlternateContent>
  <bookViews>
    <workbookView xWindow="0" yWindow="0" windowWidth="23040" windowHeight="9084" tabRatio="697" activeTab="11"/>
  </bookViews>
  <sheets>
    <sheet name="OCAK" sheetId="16" r:id="rId1"/>
    <sheet name="ŞUBAT" sheetId="15" r:id="rId2"/>
    <sheet name="MART" sheetId="17" r:id="rId3"/>
    <sheet name="NİSAN" sheetId="18" r:id="rId4"/>
    <sheet name="MAYIS" sheetId="19" r:id="rId5"/>
    <sheet name="HAZİRAN" sheetId="20" r:id="rId6"/>
    <sheet name="TEMMUZ" sheetId="21" r:id="rId7"/>
    <sheet name="AĞUSTOS" sheetId="22" r:id="rId8"/>
    <sheet name="EYLÜL" sheetId="24" r:id="rId9"/>
    <sheet name="EKİM" sheetId="26" r:id="rId10"/>
    <sheet name="KASIM" sheetId="27" r:id="rId11"/>
    <sheet name="ARALIK" sheetId="29" r:id="rId12"/>
    <sheet name="Sayfa1" sheetId="30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29" l="1"/>
  <c r="B33" i="29"/>
  <c r="F33" i="29" l="1"/>
  <c r="G33" i="29"/>
  <c r="C33" i="29"/>
  <c r="D33" i="29" s="1"/>
  <c r="L34" i="29"/>
  <c r="J33" i="29"/>
  <c r="H33" i="29"/>
  <c r="J32" i="29"/>
  <c r="I32" i="29"/>
  <c r="I31" i="29"/>
  <c r="N33" i="27" l="1"/>
  <c r="B33" i="18"/>
  <c r="N34" i="17"/>
  <c r="E31" i="15"/>
  <c r="B31" i="15"/>
  <c r="B34" i="16"/>
  <c r="O34" i="29" l="1"/>
  <c r="J30" i="29" l="1"/>
  <c r="I30" i="29"/>
  <c r="I29" i="29"/>
  <c r="I28" i="29"/>
  <c r="N23" i="29" l="1"/>
  <c r="I27" i="29" l="1"/>
  <c r="I26" i="29" l="1"/>
  <c r="I25" i="29"/>
  <c r="I24" i="29" l="1"/>
  <c r="I23" i="29" l="1"/>
  <c r="I22" i="29"/>
  <c r="I21" i="29"/>
  <c r="I20" i="29" l="1"/>
  <c r="I19" i="29"/>
  <c r="I18" i="29" l="1"/>
  <c r="I17" i="29" l="1"/>
  <c r="I16" i="29" l="1"/>
  <c r="I15" i="29"/>
  <c r="I14" i="29"/>
  <c r="I13" i="29" l="1"/>
  <c r="I12" i="29" l="1"/>
  <c r="I11" i="29" l="1"/>
  <c r="I10" i="29" l="1"/>
  <c r="I9" i="29"/>
  <c r="I8" i="29"/>
  <c r="I7" i="29"/>
  <c r="I6" i="29" l="1"/>
  <c r="I5" i="29" l="1"/>
  <c r="I4" i="29"/>
  <c r="I3" i="29" l="1"/>
  <c r="N34" i="29"/>
  <c r="M34" i="29"/>
  <c r="K34" i="29"/>
  <c r="J34" i="29"/>
  <c r="I34" i="29"/>
  <c r="H34" i="29"/>
  <c r="E34" i="29"/>
  <c r="F34" i="29" s="1"/>
  <c r="G34" i="29" s="1"/>
  <c r="B34" i="29"/>
  <c r="C34" i="29" s="1"/>
  <c r="D34" i="29" s="1"/>
  <c r="F32" i="29"/>
  <c r="G32" i="29" s="1"/>
  <c r="C32" i="29"/>
  <c r="D32" i="29" s="1"/>
  <c r="F31" i="29"/>
  <c r="G31" i="29" s="1"/>
  <c r="C31" i="29"/>
  <c r="D31" i="29" s="1"/>
  <c r="F30" i="29"/>
  <c r="G30" i="29" s="1"/>
  <c r="C30" i="29"/>
  <c r="D30" i="29" s="1"/>
  <c r="F29" i="29"/>
  <c r="G29" i="29" s="1"/>
  <c r="C29" i="29"/>
  <c r="D29" i="29" s="1"/>
  <c r="F28" i="29"/>
  <c r="G28" i="29" s="1"/>
  <c r="C28" i="29"/>
  <c r="D28" i="29" s="1"/>
  <c r="F27" i="29"/>
  <c r="G27" i="29" s="1"/>
  <c r="C27" i="29"/>
  <c r="D27" i="29" s="1"/>
  <c r="F26" i="29"/>
  <c r="G26" i="29" s="1"/>
  <c r="C26" i="29"/>
  <c r="D26" i="29" s="1"/>
  <c r="F25" i="29"/>
  <c r="G25" i="29" s="1"/>
  <c r="C25" i="29"/>
  <c r="D25" i="29" s="1"/>
  <c r="F24" i="29"/>
  <c r="G24" i="29" s="1"/>
  <c r="C24" i="29"/>
  <c r="D24" i="29" s="1"/>
  <c r="F23" i="29"/>
  <c r="G23" i="29" s="1"/>
  <c r="C23" i="29"/>
  <c r="D23" i="29" s="1"/>
  <c r="F22" i="29"/>
  <c r="G22" i="29" s="1"/>
  <c r="C22" i="29"/>
  <c r="D22" i="29" s="1"/>
  <c r="F21" i="29"/>
  <c r="G21" i="29" s="1"/>
  <c r="C21" i="29"/>
  <c r="D21" i="29" s="1"/>
  <c r="F20" i="29"/>
  <c r="G20" i="29" s="1"/>
  <c r="C20" i="29"/>
  <c r="D20" i="29" s="1"/>
  <c r="F19" i="29"/>
  <c r="G19" i="29" s="1"/>
  <c r="C19" i="29"/>
  <c r="D19" i="29" s="1"/>
  <c r="F18" i="29"/>
  <c r="G18" i="29" s="1"/>
  <c r="C18" i="29"/>
  <c r="D18" i="29" s="1"/>
  <c r="F17" i="29"/>
  <c r="G17" i="29" s="1"/>
  <c r="C17" i="29"/>
  <c r="D17" i="29" s="1"/>
  <c r="F16" i="29"/>
  <c r="G16" i="29" s="1"/>
  <c r="C16" i="29"/>
  <c r="D16" i="29" s="1"/>
  <c r="F15" i="29"/>
  <c r="G15" i="29" s="1"/>
  <c r="C15" i="29"/>
  <c r="D15" i="29" s="1"/>
  <c r="F14" i="29"/>
  <c r="G14" i="29" s="1"/>
  <c r="C14" i="29"/>
  <c r="D14" i="29" s="1"/>
  <c r="F13" i="29"/>
  <c r="G13" i="29" s="1"/>
  <c r="C13" i="29"/>
  <c r="D13" i="29" s="1"/>
  <c r="F12" i="29"/>
  <c r="G12" i="29" s="1"/>
  <c r="C12" i="29"/>
  <c r="D12" i="29" s="1"/>
  <c r="F11" i="29"/>
  <c r="G11" i="29" s="1"/>
  <c r="C11" i="29"/>
  <c r="D11" i="29" s="1"/>
  <c r="F10" i="29"/>
  <c r="G10" i="29" s="1"/>
  <c r="C10" i="29"/>
  <c r="D10" i="29" s="1"/>
  <c r="F9" i="29"/>
  <c r="G9" i="29" s="1"/>
  <c r="C9" i="29"/>
  <c r="D9" i="29" s="1"/>
  <c r="F8" i="29"/>
  <c r="G8" i="29" s="1"/>
  <c r="C8" i="29"/>
  <c r="D8" i="29" s="1"/>
  <c r="F7" i="29"/>
  <c r="G7" i="29" s="1"/>
  <c r="C7" i="29"/>
  <c r="D7" i="29" s="1"/>
  <c r="F6" i="29"/>
  <c r="G6" i="29" s="1"/>
  <c r="C6" i="29"/>
  <c r="D6" i="29" s="1"/>
  <c r="F5" i="29"/>
  <c r="G5" i="29" s="1"/>
  <c r="C5" i="29"/>
  <c r="D5" i="29" s="1"/>
  <c r="F4" i="29"/>
  <c r="G4" i="29" s="1"/>
  <c r="C4" i="29"/>
  <c r="D4" i="29" s="1"/>
  <c r="F3" i="29"/>
  <c r="G3" i="29" s="1"/>
  <c r="C3" i="29"/>
  <c r="D3" i="29" s="1"/>
  <c r="I32" i="27" l="1"/>
  <c r="I31" i="27"/>
  <c r="I30" i="27"/>
  <c r="H30" i="27"/>
  <c r="I29" i="27" l="1"/>
  <c r="I28" i="27" l="1"/>
  <c r="I27" i="27" l="1"/>
  <c r="I26" i="27" l="1"/>
  <c r="I25" i="27" l="1"/>
  <c r="I24" i="27"/>
  <c r="I23" i="27"/>
  <c r="I22" i="27" l="1"/>
  <c r="I21" i="27" l="1"/>
  <c r="I20" i="27" l="1"/>
  <c r="I19" i="27" l="1"/>
  <c r="I18" i="27" l="1"/>
  <c r="I17" i="27"/>
  <c r="I16" i="27"/>
  <c r="I15" i="27" l="1"/>
  <c r="I14" i="27" l="1"/>
  <c r="I13" i="27" l="1"/>
  <c r="I12" i="27" l="1"/>
  <c r="I11" i="27" l="1"/>
  <c r="I10" i="27"/>
  <c r="I9" i="27"/>
  <c r="I8" i="27" l="1"/>
  <c r="I7" i="27" l="1"/>
  <c r="I6" i="27" l="1"/>
  <c r="I5" i="27"/>
  <c r="I4" i="27" l="1"/>
  <c r="I3" i="27"/>
  <c r="M33" i="27"/>
  <c r="L33" i="27"/>
  <c r="K33" i="27"/>
  <c r="J33" i="27"/>
  <c r="F32" i="27"/>
  <c r="G32" i="27" s="1"/>
  <c r="C32" i="27"/>
  <c r="D32" i="27" s="1"/>
  <c r="F31" i="27"/>
  <c r="G31" i="27" s="1"/>
  <c r="C31" i="27"/>
  <c r="D31" i="27" s="1"/>
  <c r="F30" i="27"/>
  <c r="G30" i="27" s="1"/>
  <c r="C30" i="27"/>
  <c r="D30" i="27" s="1"/>
  <c r="F29" i="27"/>
  <c r="G29" i="27" s="1"/>
  <c r="C29" i="27"/>
  <c r="D29" i="27" s="1"/>
  <c r="F28" i="27"/>
  <c r="G28" i="27" s="1"/>
  <c r="C28" i="27"/>
  <c r="D28" i="27" s="1"/>
  <c r="F27" i="27"/>
  <c r="G27" i="27" s="1"/>
  <c r="C27" i="27"/>
  <c r="D27" i="27" s="1"/>
  <c r="F26" i="27"/>
  <c r="G26" i="27" s="1"/>
  <c r="C26" i="27"/>
  <c r="D26" i="27" s="1"/>
  <c r="F25" i="27"/>
  <c r="G25" i="27" s="1"/>
  <c r="C25" i="27"/>
  <c r="D25" i="27" s="1"/>
  <c r="F24" i="27"/>
  <c r="G24" i="27" s="1"/>
  <c r="C24" i="27"/>
  <c r="D24" i="27" s="1"/>
  <c r="F23" i="27"/>
  <c r="G23" i="27" s="1"/>
  <c r="C23" i="27"/>
  <c r="D23" i="27" s="1"/>
  <c r="F22" i="27"/>
  <c r="G22" i="27" s="1"/>
  <c r="C22" i="27"/>
  <c r="D22" i="27" s="1"/>
  <c r="F21" i="27"/>
  <c r="G21" i="27" s="1"/>
  <c r="C21" i="27"/>
  <c r="D21" i="27" s="1"/>
  <c r="F20" i="27"/>
  <c r="G20" i="27" s="1"/>
  <c r="C20" i="27"/>
  <c r="D20" i="27" s="1"/>
  <c r="F19" i="27"/>
  <c r="G19" i="27" s="1"/>
  <c r="C19" i="27"/>
  <c r="D19" i="27" s="1"/>
  <c r="F18" i="27"/>
  <c r="G18" i="27" s="1"/>
  <c r="C18" i="27"/>
  <c r="D18" i="27" s="1"/>
  <c r="F17" i="27"/>
  <c r="G17" i="27" s="1"/>
  <c r="C17" i="27"/>
  <c r="D17" i="27" s="1"/>
  <c r="F16" i="27"/>
  <c r="G16" i="27" s="1"/>
  <c r="C16" i="27"/>
  <c r="D16" i="27" s="1"/>
  <c r="F15" i="27"/>
  <c r="G15" i="27" s="1"/>
  <c r="C15" i="27"/>
  <c r="D15" i="27" s="1"/>
  <c r="F14" i="27"/>
  <c r="G14" i="27" s="1"/>
  <c r="C14" i="27"/>
  <c r="D14" i="27" s="1"/>
  <c r="F13" i="27"/>
  <c r="G13" i="27" s="1"/>
  <c r="C13" i="27"/>
  <c r="D13" i="27" s="1"/>
  <c r="F12" i="27"/>
  <c r="G12" i="27" s="1"/>
  <c r="C12" i="27"/>
  <c r="D12" i="27" s="1"/>
  <c r="F11" i="27"/>
  <c r="G11" i="27" s="1"/>
  <c r="C11" i="27"/>
  <c r="D11" i="27" s="1"/>
  <c r="F10" i="27"/>
  <c r="G10" i="27" s="1"/>
  <c r="C10" i="27"/>
  <c r="D10" i="27" s="1"/>
  <c r="F9" i="27"/>
  <c r="G9" i="27" s="1"/>
  <c r="C9" i="27"/>
  <c r="D9" i="27" s="1"/>
  <c r="F8" i="27"/>
  <c r="G8" i="27" s="1"/>
  <c r="C8" i="27"/>
  <c r="D8" i="27" s="1"/>
  <c r="F7" i="27"/>
  <c r="G7" i="27" s="1"/>
  <c r="C7" i="27"/>
  <c r="D7" i="27" s="1"/>
  <c r="F6" i="27"/>
  <c r="G6" i="27" s="1"/>
  <c r="C6" i="27"/>
  <c r="D6" i="27" s="1"/>
  <c r="F5" i="27"/>
  <c r="G5" i="27" s="1"/>
  <c r="C5" i="27"/>
  <c r="D5" i="27" s="1"/>
  <c r="H33" i="27"/>
  <c r="E33" i="27"/>
  <c r="F33" i="27" s="1"/>
  <c r="G33" i="27" s="1"/>
  <c r="B33" i="27"/>
  <c r="C33" i="27" s="1"/>
  <c r="D33" i="27" s="1"/>
  <c r="I33" i="27"/>
  <c r="F3" i="27"/>
  <c r="G3" i="27" s="1"/>
  <c r="C3" i="27"/>
  <c r="D3" i="27" s="1"/>
  <c r="I33" i="26"/>
  <c r="C4" i="27" l="1"/>
  <c r="D4" i="27" s="1"/>
  <c r="F4" i="27"/>
  <c r="G4" i="27" s="1"/>
  <c r="I32" i="26"/>
  <c r="I31" i="26" l="1"/>
  <c r="I30" i="26"/>
  <c r="I29" i="26"/>
  <c r="I28" i="26" l="1"/>
  <c r="I27" i="26"/>
  <c r="H27" i="26"/>
  <c r="E27" i="26"/>
  <c r="B27" i="26"/>
  <c r="I26" i="26"/>
  <c r="I25" i="26" l="1"/>
  <c r="I24" i="26" l="1"/>
  <c r="I23" i="26"/>
  <c r="I22" i="26" l="1"/>
  <c r="I21" i="26"/>
  <c r="I20" i="26"/>
  <c r="I19" i="26"/>
  <c r="I18" i="26" l="1"/>
  <c r="I17" i="26" l="1"/>
  <c r="I16" i="26" l="1"/>
  <c r="I15" i="26" l="1"/>
  <c r="I14" i="26"/>
  <c r="I13" i="26"/>
  <c r="I12" i="26"/>
  <c r="I11" i="26" l="1"/>
  <c r="I10" i="26" l="1"/>
  <c r="I9" i="26" l="1"/>
  <c r="I8" i="26"/>
  <c r="I7" i="26" l="1"/>
  <c r="I6" i="26"/>
  <c r="I5" i="26"/>
  <c r="I4" i="26" l="1"/>
  <c r="H4" i="26"/>
  <c r="E4" i="26"/>
  <c r="B4" i="26"/>
  <c r="I3" i="26" l="1"/>
  <c r="I34" i="26" s="1"/>
  <c r="N34" i="26"/>
  <c r="M34" i="26"/>
  <c r="L34" i="26"/>
  <c r="K34" i="26"/>
  <c r="J34" i="26"/>
  <c r="H34" i="26"/>
  <c r="E34" i="26"/>
  <c r="F34" i="26" s="1"/>
  <c r="G34" i="26" s="1"/>
  <c r="B34" i="26"/>
  <c r="C34" i="26" s="1"/>
  <c r="D34" i="26" s="1"/>
  <c r="C33" i="26"/>
  <c r="D33" i="26" s="1"/>
  <c r="F33" i="26"/>
  <c r="G33" i="26" s="1"/>
  <c r="F32" i="26"/>
  <c r="G32" i="26" s="1"/>
  <c r="C32" i="26"/>
  <c r="D32" i="26" s="1"/>
  <c r="F31" i="26"/>
  <c r="G31" i="26" s="1"/>
  <c r="C31" i="26"/>
  <c r="D31" i="26" s="1"/>
  <c r="F30" i="26"/>
  <c r="G30" i="26" s="1"/>
  <c r="C30" i="26"/>
  <c r="D30" i="26" s="1"/>
  <c r="F29" i="26"/>
  <c r="G29" i="26" s="1"/>
  <c r="C29" i="26"/>
  <c r="D29" i="26" s="1"/>
  <c r="F28" i="26"/>
  <c r="G28" i="26" s="1"/>
  <c r="C28" i="26"/>
  <c r="D28" i="26" s="1"/>
  <c r="F27" i="26"/>
  <c r="G27" i="26" s="1"/>
  <c r="C27" i="26"/>
  <c r="D27" i="26" s="1"/>
  <c r="F26" i="26"/>
  <c r="G26" i="26" s="1"/>
  <c r="C26" i="26"/>
  <c r="D26" i="26" s="1"/>
  <c r="F25" i="26"/>
  <c r="G25" i="26" s="1"/>
  <c r="C25" i="26"/>
  <c r="D25" i="26" s="1"/>
  <c r="F24" i="26"/>
  <c r="G24" i="26" s="1"/>
  <c r="C24" i="26"/>
  <c r="D24" i="26" s="1"/>
  <c r="F23" i="26"/>
  <c r="G23" i="26" s="1"/>
  <c r="C23" i="26"/>
  <c r="D23" i="26" s="1"/>
  <c r="F22" i="26"/>
  <c r="G22" i="26" s="1"/>
  <c r="C22" i="26"/>
  <c r="D22" i="26" s="1"/>
  <c r="F21" i="26"/>
  <c r="G21" i="26" s="1"/>
  <c r="C21" i="26"/>
  <c r="D21" i="26" s="1"/>
  <c r="F20" i="26"/>
  <c r="G20" i="26" s="1"/>
  <c r="C20" i="26"/>
  <c r="D20" i="26" s="1"/>
  <c r="F19" i="26"/>
  <c r="G19" i="26" s="1"/>
  <c r="C19" i="26"/>
  <c r="D19" i="26" s="1"/>
  <c r="F18" i="26"/>
  <c r="G18" i="26" s="1"/>
  <c r="C18" i="26"/>
  <c r="D18" i="26" s="1"/>
  <c r="F17" i="26"/>
  <c r="G17" i="26" s="1"/>
  <c r="C17" i="26"/>
  <c r="D17" i="26" s="1"/>
  <c r="F16" i="26"/>
  <c r="G16" i="26" s="1"/>
  <c r="C16" i="26"/>
  <c r="D16" i="26" s="1"/>
  <c r="F15" i="26"/>
  <c r="G15" i="26" s="1"/>
  <c r="C15" i="26"/>
  <c r="D15" i="26" s="1"/>
  <c r="F14" i="26"/>
  <c r="G14" i="26" s="1"/>
  <c r="C14" i="26"/>
  <c r="D14" i="26" s="1"/>
  <c r="F13" i="26"/>
  <c r="G13" i="26" s="1"/>
  <c r="C13" i="26"/>
  <c r="D13" i="26" s="1"/>
  <c r="F12" i="26"/>
  <c r="G12" i="26" s="1"/>
  <c r="C12" i="26"/>
  <c r="D12" i="26" s="1"/>
  <c r="F11" i="26"/>
  <c r="G11" i="26" s="1"/>
  <c r="C11" i="26"/>
  <c r="D11" i="26" s="1"/>
  <c r="F10" i="26"/>
  <c r="G10" i="26" s="1"/>
  <c r="C10" i="26"/>
  <c r="D10" i="26" s="1"/>
  <c r="F9" i="26"/>
  <c r="G9" i="26" s="1"/>
  <c r="C9" i="26"/>
  <c r="D9" i="26" s="1"/>
  <c r="F8" i="26"/>
  <c r="G8" i="26" s="1"/>
  <c r="C8" i="26"/>
  <c r="D8" i="26" s="1"/>
  <c r="F7" i="26"/>
  <c r="G7" i="26" s="1"/>
  <c r="C7" i="26"/>
  <c r="D7" i="26" s="1"/>
  <c r="F6" i="26"/>
  <c r="G6" i="26" s="1"/>
  <c r="C6" i="26"/>
  <c r="D6" i="26" s="1"/>
  <c r="F5" i="26"/>
  <c r="G5" i="26" s="1"/>
  <c r="C5" i="26"/>
  <c r="D5" i="26" s="1"/>
  <c r="F4" i="26"/>
  <c r="G4" i="26" s="1"/>
  <c r="C4" i="26"/>
  <c r="D4" i="26" s="1"/>
  <c r="F3" i="26"/>
  <c r="G3" i="26" s="1"/>
  <c r="C3" i="26"/>
  <c r="D3" i="26" s="1"/>
  <c r="J33" i="24" l="1"/>
  <c r="I33" i="24"/>
  <c r="H33" i="24"/>
  <c r="E33" i="24"/>
  <c r="B33" i="24"/>
  <c r="I32" i="24" l="1"/>
  <c r="I31" i="24" l="1"/>
  <c r="I30" i="24"/>
  <c r="I29" i="24"/>
  <c r="I28" i="24"/>
  <c r="I27" i="24"/>
  <c r="I26" i="24"/>
  <c r="I25" i="24"/>
  <c r="I24" i="24"/>
  <c r="I23" i="24" l="1"/>
  <c r="I22" i="24"/>
  <c r="I21" i="24"/>
  <c r="I20" i="24"/>
  <c r="I19" i="24"/>
  <c r="I18" i="24"/>
  <c r="I17" i="24"/>
  <c r="I34" i="22" l="1"/>
  <c r="N34" i="22" l="1"/>
  <c r="L34" i="22"/>
  <c r="K34" i="22"/>
  <c r="J34" i="22"/>
  <c r="H34" i="22"/>
  <c r="B34" i="22"/>
  <c r="E34" i="22"/>
  <c r="I16" i="24" l="1"/>
  <c r="I15" i="24"/>
  <c r="I13" i="24"/>
  <c r="I12" i="24"/>
  <c r="I11" i="24"/>
  <c r="I10" i="24"/>
  <c r="I14" i="24"/>
  <c r="I9" i="24" l="1"/>
  <c r="I8" i="24"/>
  <c r="I7" i="24"/>
  <c r="I6" i="24" l="1"/>
  <c r="I5" i="24"/>
  <c r="I4" i="24"/>
  <c r="I3" i="24"/>
  <c r="N33" i="24"/>
  <c r="M33" i="24"/>
  <c r="L33" i="24"/>
  <c r="K33" i="24"/>
  <c r="F33" i="24"/>
  <c r="G33" i="24" s="1"/>
  <c r="C33" i="24"/>
  <c r="D33" i="24" s="1"/>
  <c r="F32" i="24"/>
  <c r="G32" i="24" s="1"/>
  <c r="C32" i="24"/>
  <c r="D32" i="24" s="1"/>
  <c r="F31" i="24"/>
  <c r="G31" i="24" s="1"/>
  <c r="C31" i="24"/>
  <c r="D31" i="24" s="1"/>
  <c r="F30" i="24"/>
  <c r="G30" i="24" s="1"/>
  <c r="C30" i="24"/>
  <c r="D30" i="24" s="1"/>
  <c r="F29" i="24"/>
  <c r="G29" i="24" s="1"/>
  <c r="C29" i="24"/>
  <c r="D29" i="24" s="1"/>
  <c r="F28" i="24"/>
  <c r="G28" i="24" s="1"/>
  <c r="C28" i="24"/>
  <c r="D28" i="24" s="1"/>
  <c r="F27" i="24"/>
  <c r="G27" i="24" s="1"/>
  <c r="C27" i="24"/>
  <c r="D27" i="24" s="1"/>
  <c r="F26" i="24"/>
  <c r="G26" i="24" s="1"/>
  <c r="C26" i="24"/>
  <c r="D26" i="24" s="1"/>
  <c r="F25" i="24"/>
  <c r="G25" i="24" s="1"/>
  <c r="C25" i="24"/>
  <c r="D25" i="24" s="1"/>
  <c r="F24" i="24"/>
  <c r="G24" i="24" s="1"/>
  <c r="C24" i="24"/>
  <c r="D24" i="24" s="1"/>
  <c r="F23" i="24"/>
  <c r="G23" i="24" s="1"/>
  <c r="C23" i="24"/>
  <c r="D23" i="24" s="1"/>
  <c r="F22" i="24"/>
  <c r="G22" i="24" s="1"/>
  <c r="C22" i="24"/>
  <c r="D22" i="24" s="1"/>
  <c r="F21" i="24"/>
  <c r="G21" i="24" s="1"/>
  <c r="C21" i="24"/>
  <c r="D21" i="24" s="1"/>
  <c r="F20" i="24"/>
  <c r="G20" i="24" s="1"/>
  <c r="C20" i="24"/>
  <c r="D20" i="24" s="1"/>
  <c r="F19" i="24"/>
  <c r="G19" i="24" s="1"/>
  <c r="C19" i="24"/>
  <c r="D19" i="24" s="1"/>
  <c r="F18" i="24"/>
  <c r="G18" i="24" s="1"/>
  <c r="C18" i="24"/>
  <c r="D18" i="24" s="1"/>
  <c r="F17" i="24"/>
  <c r="G17" i="24" s="1"/>
  <c r="C17" i="24"/>
  <c r="D17" i="24" s="1"/>
  <c r="F16" i="24"/>
  <c r="G16" i="24" s="1"/>
  <c r="C16" i="24"/>
  <c r="D16" i="24" s="1"/>
  <c r="F15" i="24"/>
  <c r="G15" i="24" s="1"/>
  <c r="C15" i="24"/>
  <c r="D15" i="24" s="1"/>
  <c r="F14" i="24"/>
  <c r="G14" i="24" s="1"/>
  <c r="C14" i="24"/>
  <c r="D14" i="24" s="1"/>
  <c r="F13" i="24"/>
  <c r="G13" i="24" s="1"/>
  <c r="C13" i="24"/>
  <c r="D13" i="24" s="1"/>
  <c r="F12" i="24"/>
  <c r="G12" i="24" s="1"/>
  <c r="C12" i="24"/>
  <c r="D12" i="24" s="1"/>
  <c r="F11" i="24"/>
  <c r="G11" i="24" s="1"/>
  <c r="C11" i="24"/>
  <c r="D11" i="24" s="1"/>
  <c r="F10" i="24"/>
  <c r="G10" i="24" s="1"/>
  <c r="C10" i="24"/>
  <c r="D10" i="24" s="1"/>
  <c r="F9" i="24"/>
  <c r="G9" i="24" s="1"/>
  <c r="C9" i="24"/>
  <c r="D9" i="24" s="1"/>
  <c r="F8" i="24"/>
  <c r="G8" i="24" s="1"/>
  <c r="C8" i="24"/>
  <c r="D8" i="24" s="1"/>
  <c r="F7" i="24"/>
  <c r="G7" i="24" s="1"/>
  <c r="C7" i="24"/>
  <c r="D7" i="24" s="1"/>
  <c r="F6" i="24"/>
  <c r="G6" i="24" s="1"/>
  <c r="C6" i="24"/>
  <c r="D6" i="24" s="1"/>
  <c r="F5" i="24"/>
  <c r="G5" i="24" s="1"/>
  <c r="C5" i="24"/>
  <c r="D5" i="24" s="1"/>
  <c r="F4" i="24"/>
  <c r="G4" i="24" s="1"/>
  <c r="C4" i="24"/>
  <c r="D4" i="24" s="1"/>
  <c r="F3" i="24"/>
  <c r="G3" i="24" s="1"/>
  <c r="C3" i="24"/>
  <c r="D3" i="24" s="1"/>
  <c r="I33" i="22" l="1"/>
  <c r="I32" i="22"/>
  <c r="I31" i="22" l="1"/>
  <c r="I30" i="22"/>
  <c r="I29" i="22"/>
  <c r="I28" i="22"/>
  <c r="I27" i="22"/>
  <c r="E34" i="21" l="1"/>
  <c r="B34" i="21"/>
  <c r="H34" i="21"/>
  <c r="J34" i="21"/>
  <c r="F16" i="22"/>
  <c r="G16" i="22"/>
  <c r="F17" i="22"/>
  <c r="G17" i="22" s="1"/>
  <c r="F18" i="22"/>
  <c r="G18" i="22"/>
  <c r="F19" i="22"/>
  <c r="G19" i="22"/>
  <c r="F20" i="22"/>
  <c r="G20" i="22" s="1"/>
  <c r="F21" i="22"/>
  <c r="G21" i="22" s="1"/>
  <c r="F22" i="22"/>
  <c r="G22" i="22"/>
  <c r="F23" i="22"/>
  <c r="G23" i="22" s="1"/>
  <c r="F24" i="22"/>
  <c r="G24" i="22"/>
  <c r="F25" i="22"/>
  <c r="G25" i="22"/>
  <c r="F26" i="22"/>
  <c r="G26" i="22"/>
  <c r="F27" i="22"/>
  <c r="G27" i="22" s="1"/>
  <c r="F28" i="22"/>
  <c r="G28" i="22" s="1"/>
  <c r="F29" i="22"/>
  <c r="G29" i="22" s="1"/>
  <c r="F30" i="22"/>
  <c r="G30" i="22" s="1"/>
  <c r="F31" i="22"/>
  <c r="G31" i="22" s="1"/>
  <c r="F32" i="22"/>
  <c r="G32" i="22" s="1"/>
  <c r="F33" i="22"/>
  <c r="G33" i="22" s="1"/>
  <c r="M34" i="22"/>
  <c r="C33" i="22"/>
  <c r="D33" i="22" s="1"/>
  <c r="C32" i="22"/>
  <c r="D32" i="22" s="1"/>
  <c r="C31" i="22"/>
  <c r="D31" i="22" s="1"/>
  <c r="C30" i="22"/>
  <c r="D30" i="22" s="1"/>
  <c r="C29" i="22"/>
  <c r="D29" i="22" s="1"/>
  <c r="C28" i="22"/>
  <c r="D28" i="22" s="1"/>
  <c r="C27" i="22"/>
  <c r="D27" i="22" s="1"/>
  <c r="C26" i="22"/>
  <c r="D26" i="22" s="1"/>
  <c r="C25" i="22"/>
  <c r="D25" i="22" s="1"/>
  <c r="C24" i="22"/>
  <c r="D24" i="22" s="1"/>
  <c r="C23" i="22"/>
  <c r="D23" i="22" s="1"/>
  <c r="C22" i="22"/>
  <c r="D22" i="22" s="1"/>
  <c r="C21" i="22"/>
  <c r="D21" i="22" s="1"/>
  <c r="C20" i="22"/>
  <c r="D20" i="22" s="1"/>
  <c r="C19" i="22"/>
  <c r="D19" i="22" s="1"/>
  <c r="C18" i="22"/>
  <c r="D18" i="22" s="1"/>
  <c r="C17" i="22"/>
  <c r="D17" i="22" s="1"/>
  <c r="C16" i="22"/>
  <c r="D16" i="22" s="1"/>
  <c r="F15" i="22"/>
  <c r="G15" i="22" s="1"/>
  <c r="C15" i="22"/>
  <c r="D15" i="22" s="1"/>
  <c r="F14" i="22"/>
  <c r="G14" i="22" s="1"/>
  <c r="C14" i="22"/>
  <c r="D14" i="22" s="1"/>
  <c r="F13" i="22"/>
  <c r="G13" i="22" s="1"/>
  <c r="C13" i="22"/>
  <c r="D13" i="22" s="1"/>
  <c r="F12" i="22"/>
  <c r="G12" i="22" s="1"/>
  <c r="C12" i="22"/>
  <c r="D12" i="22" s="1"/>
  <c r="F11" i="22"/>
  <c r="G11" i="22" s="1"/>
  <c r="C11" i="22"/>
  <c r="D11" i="22" s="1"/>
  <c r="F10" i="22"/>
  <c r="G10" i="22" s="1"/>
  <c r="C10" i="22"/>
  <c r="D10" i="22" s="1"/>
  <c r="F9" i="22"/>
  <c r="G9" i="22" s="1"/>
  <c r="C9" i="22"/>
  <c r="D9" i="22" s="1"/>
  <c r="F8" i="22"/>
  <c r="G8" i="22" s="1"/>
  <c r="C8" i="22"/>
  <c r="D8" i="22" s="1"/>
  <c r="F7" i="22"/>
  <c r="G7" i="22" s="1"/>
  <c r="C7" i="22"/>
  <c r="D7" i="22" s="1"/>
  <c r="F6" i="22"/>
  <c r="G6" i="22" s="1"/>
  <c r="C6" i="22"/>
  <c r="D6" i="22" s="1"/>
  <c r="F5" i="22"/>
  <c r="G5" i="22" s="1"/>
  <c r="C5" i="22"/>
  <c r="D5" i="22" s="1"/>
  <c r="F4" i="22"/>
  <c r="G4" i="22" s="1"/>
  <c r="C4" i="22"/>
  <c r="D4" i="22" s="1"/>
  <c r="F3" i="22"/>
  <c r="G3" i="22" s="1"/>
  <c r="C3" i="22"/>
  <c r="D3" i="22" s="1"/>
  <c r="F33" i="21"/>
  <c r="G33" i="21" s="1"/>
  <c r="C33" i="21"/>
  <c r="D33" i="21" s="1"/>
  <c r="F32" i="21"/>
  <c r="G32" i="21" s="1"/>
  <c r="C32" i="21"/>
  <c r="D32" i="21"/>
  <c r="I21" i="21"/>
  <c r="H21" i="21"/>
  <c r="E21" i="21"/>
  <c r="B21" i="21"/>
  <c r="C34" i="22" l="1"/>
  <c r="D34" i="22" s="1"/>
  <c r="F34" i="22"/>
  <c r="G34" i="22" s="1"/>
  <c r="I3" i="21"/>
  <c r="H3" i="21"/>
  <c r="E3" i="21"/>
  <c r="F3" i="21" s="1"/>
  <c r="G3" i="21" s="1"/>
  <c r="B3" i="21"/>
  <c r="C32" i="20"/>
  <c r="D32" i="20" s="1"/>
  <c r="F32" i="20"/>
  <c r="G32" i="20" s="1"/>
  <c r="N34" i="21"/>
  <c r="M34" i="21"/>
  <c r="L34" i="21"/>
  <c r="K34" i="21"/>
  <c r="F31" i="21"/>
  <c r="G31" i="21" s="1"/>
  <c r="C31" i="21"/>
  <c r="D31" i="21" s="1"/>
  <c r="F30" i="21"/>
  <c r="G30" i="21" s="1"/>
  <c r="C30" i="21"/>
  <c r="D30" i="21" s="1"/>
  <c r="F29" i="21"/>
  <c r="G29" i="21" s="1"/>
  <c r="C29" i="21"/>
  <c r="D29" i="21" s="1"/>
  <c r="F28" i="21"/>
  <c r="G28" i="21" s="1"/>
  <c r="C28" i="21"/>
  <c r="D28" i="21" s="1"/>
  <c r="F27" i="21"/>
  <c r="G27" i="21" s="1"/>
  <c r="C27" i="21"/>
  <c r="D27" i="21" s="1"/>
  <c r="F26" i="21"/>
  <c r="G26" i="21" s="1"/>
  <c r="C26" i="21"/>
  <c r="D26" i="21" s="1"/>
  <c r="F25" i="21"/>
  <c r="G25" i="21" s="1"/>
  <c r="C25" i="21"/>
  <c r="D25" i="21" s="1"/>
  <c r="F24" i="21"/>
  <c r="G24" i="21" s="1"/>
  <c r="C24" i="21"/>
  <c r="D24" i="21" s="1"/>
  <c r="F23" i="21"/>
  <c r="G23" i="21" s="1"/>
  <c r="C23" i="21"/>
  <c r="D23" i="21" s="1"/>
  <c r="F22" i="21"/>
  <c r="G22" i="21" s="1"/>
  <c r="C22" i="21"/>
  <c r="D22" i="21" s="1"/>
  <c r="F21" i="21"/>
  <c r="G21" i="21" s="1"/>
  <c r="C21" i="21"/>
  <c r="D21" i="21" s="1"/>
  <c r="F20" i="21"/>
  <c r="G20" i="21" s="1"/>
  <c r="C20" i="21"/>
  <c r="D20" i="21" s="1"/>
  <c r="F19" i="21"/>
  <c r="G19" i="21" s="1"/>
  <c r="C19" i="21"/>
  <c r="D19" i="21" s="1"/>
  <c r="F18" i="21"/>
  <c r="G18" i="21" s="1"/>
  <c r="C18" i="21"/>
  <c r="D18" i="21" s="1"/>
  <c r="F17" i="21"/>
  <c r="G17" i="21" s="1"/>
  <c r="C17" i="21"/>
  <c r="D17" i="21" s="1"/>
  <c r="G16" i="21"/>
  <c r="C16" i="21"/>
  <c r="D16" i="21" s="1"/>
  <c r="F15" i="21"/>
  <c r="G15" i="21" s="1"/>
  <c r="C15" i="21"/>
  <c r="D15" i="21" s="1"/>
  <c r="F14" i="21"/>
  <c r="G14" i="21" s="1"/>
  <c r="C14" i="21"/>
  <c r="D14" i="21" s="1"/>
  <c r="F13" i="21"/>
  <c r="G13" i="21" s="1"/>
  <c r="C13" i="21"/>
  <c r="D13" i="21" s="1"/>
  <c r="F12" i="21"/>
  <c r="G12" i="21" s="1"/>
  <c r="C12" i="21"/>
  <c r="D12" i="21" s="1"/>
  <c r="F11" i="21"/>
  <c r="G11" i="21" s="1"/>
  <c r="C11" i="21"/>
  <c r="D11" i="21" s="1"/>
  <c r="F10" i="21"/>
  <c r="G10" i="21" s="1"/>
  <c r="C10" i="21"/>
  <c r="D10" i="21" s="1"/>
  <c r="F9" i="21"/>
  <c r="G9" i="21" s="1"/>
  <c r="C9" i="21"/>
  <c r="D9" i="21" s="1"/>
  <c r="F8" i="21"/>
  <c r="G8" i="21" s="1"/>
  <c r="C8" i="21"/>
  <c r="D8" i="21" s="1"/>
  <c r="F7" i="21"/>
  <c r="G7" i="21" s="1"/>
  <c r="D7" i="21"/>
  <c r="C7" i="21"/>
  <c r="F6" i="21"/>
  <c r="G6" i="21" s="1"/>
  <c r="C6" i="21"/>
  <c r="D6" i="21" s="1"/>
  <c r="I34" i="21"/>
  <c r="F5" i="21"/>
  <c r="G5" i="21" s="1"/>
  <c r="C5" i="21"/>
  <c r="D5" i="21" s="1"/>
  <c r="C34" i="21"/>
  <c r="D34" i="21" s="1"/>
  <c r="F4" i="21"/>
  <c r="G4" i="21" s="1"/>
  <c r="C4" i="21"/>
  <c r="D4" i="21" s="1"/>
  <c r="C3" i="21"/>
  <c r="D3" i="21" s="1"/>
  <c r="I30" i="20"/>
  <c r="H30" i="20"/>
  <c r="E30" i="20"/>
  <c r="B30" i="20"/>
  <c r="C30" i="20" s="1"/>
  <c r="D30" i="20" s="1"/>
  <c r="F10" i="20"/>
  <c r="G10" i="20" s="1"/>
  <c r="I5" i="20"/>
  <c r="H5" i="20"/>
  <c r="E5" i="20"/>
  <c r="B5" i="20"/>
  <c r="C5" i="20" s="1"/>
  <c r="D5" i="20" s="1"/>
  <c r="N33" i="20"/>
  <c r="M33" i="20"/>
  <c r="K33" i="20"/>
  <c r="F31" i="20"/>
  <c r="G31" i="20" s="1"/>
  <c r="C31" i="20"/>
  <c r="D31" i="20" s="1"/>
  <c r="F30" i="20"/>
  <c r="G30" i="20" s="1"/>
  <c r="F29" i="20"/>
  <c r="G29" i="20" s="1"/>
  <c r="C29" i="20"/>
  <c r="D29" i="20" s="1"/>
  <c r="F28" i="20"/>
  <c r="G28" i="20" s="1"/>
  <c r="C28" i="20"/>
  <c r="D28" i="20" s="1"/>
  <c r="F27" i="20"/>
  <c r="G27" i="20" s="1"/>
  <c r="C27" i="20"/>
  <c r="D27" i="20" s="1"/>
  <c r="F26" i="20"/>
  <c r="G26" i="20" s="1"/>
  <c r="C26" i="20"/>
  <c r="D26" i="20" s="1"/>
  <c r="F25" i="20"/>
  <c r="G25" i="20" s="1"/>
  <c r="C25" i="20"/>
  <c r="D25" i="20" s="1"/>
  <c r="F24" i="20"/>
  <c r="G24" i="20" s="1"/>
  <c r="C24" i="20"/>
  <c r="D24" i="20" s="1"/>
  <c r="F23" i="20"/>
  <c r="G23" i="20" s="1"/>
  <c r="C23" i="20"/>
  <c r="D23" i="20" s="1"/>
  <c r="F22" i="20"/>
  <c r="G22" i="20" s="1"/>
  <c r="C22" i="20"/>
  <c r="D22" i="20" s="1"/>
  <c r="F21" i="20"/>
  <c r="G21" i="20" s="1"/>
  <c r="C21" i="20"/>
  <c r="D21" i="20" s="1"/>
  <c r="F20" i="20"/>
  <c r="G20" i="20" s="1"/>
  <c r="C20" i="20"/>
  <c r="D20" i="20" s="1"/>
  <c r="F19" i="20"/>
  <c r="G19" i="20" s="1"/>
  <c r="C19" i="20"/>
  <c r="D19" i="20" s="1"/>
  <c r="F18" i="20"/>
  <c r="G18" i="20" s="1"/>
  <c r="C18" i="20"/>
  <c r="D18" i="20" s="1"/>
  <c r="F17" i="20"/>
  <c r="G17" i="20" s="1"/>
  <c r="C17" i="20"/>
  <c r="D17" i="20" s="1"/>
  <c r="F16" i="20"/>
  <c r="G16" i="20" s="1"/>
  <c r="C16" i="20"/>
  <c r="D16" i="20" s="1"/>
  <c r="F15" i="20"/>
  <c r="G15" i="20" s="1"/>
  <c r="C15" i="20"/>
  <c r="D15" i="20" s="1"/>
  <c r="F14" i="20"/>
  <c r="G14" i="20" s="1"/>
  <c r="C14" i="20"/>
  <c r="D14" i="20" s="1"/>
  <c r="F13" i="20"/>
  <c r="G13" i="20" s="1"/>
  <c r="C13" i="20"/>
  <c r="D13" i="20" s="1"/>
  <c r="F12" i="20"/>
  <c r="G12" i="20" s="1"/>
  <c r="C12" i="20"/>
  <c r="D12" i="20" s="1"/>
  <c r="L33" i="20"/>
  <c r="F11" i="20"/>
  <c r="G11" i="20" s="1"/>
  <c r="C11" i="20"/>
  <c r="D11" i="20" s="1"/>
  <c r="C10" i="20"/>
  <c r="D10" i="20" s="1"/>
  <c r="F9" i="20"/>
  <c r="G9" i="20" s="1"/>
  <c r="C9" i="20"/>
  <c r="D9" i="20" s="1"/>
  <c r="J33" i="20"/>
  <c r="F8" i="20"/>
  <c r="G8" i="20" s="1"/>
  <c r="C8" i="20"/>
  <c r="D8" i="20" s="1"/>
  <c r="F7" i="20"/>
  <c r="G7" i="20" s="1"/>
  <c r="C7" i="20"/>
  <c r="D7" i="20" s="1"/>
  <c r="F6" i="20"/>
  <c r="G6" i="20" s="1"/>
  <c r="C6" i="20"/>
  <c r="D6" i="20" s="1"/>
  <c r="F5" i="20"/>
  <c r="G5" i="20" s="1"/>
  <c r="I33" i="20"/>
  <c r="F4" i="20"/>
  <c r="G4" i="20" s="1"/>
  <c r="C4" i="20"/>
  <c r="D4" i="20" s="1"/>
  <c r="F3" i="20"/>
  <c r="G3" i="20" s="1"/>
  <c r="C3" i="20"/>
  <c r="D3" i="20" s="1"/>
  <c r="N34" i="19"/>
  <c r="L34" i="19"/>
  <c r="M34" i="19"/>
  <c r="K34" i="19"/>
  <c r="F33" i="19"/>
  <c r="G33" i="19"/>
  <c r="C33" i="19"/>
  <c r="D33" i="19"/>
  <c r="I32" i="19"/>
  <c r="G32" i="19"/>
  <c r="F32" i="19"/>
  <c r="C32" i="19"/>
  <c r="D32" i="19" s="1"/>
  <c r="I30" i="19"/>
  <c r="I29" i="19"/>
  <c r="I28" i="19"/>
  <c r="F28" i="19"/>
  <c r="G28" i="19" s="1"/>
  <c r="C28" i="19"/>
  <c r="D28" i="19" s="1"/>
  <c r="I27" i="19"/>
  <c r="F27" i="19"/>
  <c r="G27" i="19" s="1"/>
  <c r="C27" i="19"/>
  <c r="D27" i="19" s="1"/>
  <c r="I26" i="19"/>
  <c r="F26" i="19"/>
  <c r="G26" i="19" s="1"/>
  <c r="C26" i="19"/>
  <c r="D26" i="19" s="1"/>
  <c r="I25" i="19"/>
  <c r="F25" i="19"/>
  <c r="G25" i="19" s="1"/>
  <c r="C25" i="19"/>
  <c r="D25" i="19" s="1"/>
  <c r="I24" i="19"/>
  <c r="F24" i="19"/>
  <c r="G24" i="19" s="1"/>
  <c r="C24" i="19"/>
  <c r="D24" i="19" s="1"/>
  <c r="I23" i="19"/>
  <c r="F23" i="19"/>
  <c r="G23" i="19" s="1"/>
  <c r="C23" i="19"/>
  <c r="D23" i="19" s="1"/>
  <c r="I22" i="19"/>
  <c r="F22" i="19"/>
  <c r="G22" i="19" s="1"/>
  <c r="C22" i="19"/>
  <c r="D22" i="19" s="1"/>
  <c r="I21" i="19"/>
  <c r="F21" i="19"/>
  <c r="G21" i="19" s="1"/>
  <c r="C21" i="19"/>
  <c r="D21" i="19" s="1"/>
  <c r="I20" i="19"/>
  <c r="F20" i="19"/>
  <c r="G20" i="19" s="1"/>
  <c r="C20" i="19"/>
  <c r="D20" i="19" s="1"/>
  <c r="F19" i="19"/>
  <c r="G19" i="19" s="1"/>
  <c r="C19" i="19"/>
  <c r="D19" i="19" s="1"/>
  <c r="F18" i="19"/>
  <c r="G18" i="19" s="1"/>
  <c r="D18" i="19"/>
  <c r="C18" i="19"/>
  <c r="H33" i="20" l="1"/>
  <c r="F34" i="21"/>
  <c r="G34" i="21" s="1"/>
  <c r="E33" i="20"/>
  <c r="F33" i="20" s="1"/>
  <c r="G33" i="20" s="1"/>
  <c r="B33" i="20"/>
  <c r="C33" i="20" s="1"/>
  <c r="D33" i="20" s="1"/>
  <c r="K27" i="18"/>
  <c r="K20" i="18"/>
  <c r="K5" i="18"/>
  <c r="L12" i="19"/>
  <c r="L11" i="19"/>
  <c r="L31" i="18"/>
  <c r="L30" i="18"/>
  <c r="L8" i="18"/>
  <c r="L5" i="18"/>
  <c r="I14" i="19" l="1"/>
  <c r="J8" i="19" l="1"/>
  <c r="I8" i="19"/>
  <c r="H8" i="19"/>
  <c r="E8" i="19"/>
  <c r="B8" i="19"/>
  <c r="I3" i="19" l="1"/>
  <c r="F3" i="19"/>
  <c r="G3" i="19" s="1"/>
  <c r="C3" i="19"/>
  <c r="D3" i="19" s="1"/>
  <c r="B32" i="18"/>
  <c r="C32" i="18"/>
  <c r="D32" i="18"/>
  <c r="E32" i="18"/>
  <c r="F32" i="18"/>
  <c r="G32" i="18"/>
  <c r="H32" i="18"/>
  <c r="I32" i="18"/>
  <c r="J32" i="18"/>
  <c r="I5" i="19"/>
  <c r="I4" i="19"/>
  <c r="I34" i="19" l="1"/>
  <c r="J34" i="19"/>
  <c r="B34" i="19"/>
  <c r="C34" i="19" s="1"/>
  <c r="D34" i="19" s="1"/>
  <c r="F31" i="19"/>
  <c r="G31" i="19" s="1"/>
  <c r="C31" i="19"/>
  <c r="D31" i="19" s="1"/>
  <c r="F30" i="19"/>
  <c r="G30" i="19" s="1"/>
  <c r="C30" i="19"/>
  <c r="D30" i="19" s="1"/>
  <c r="F29" i="19"/>
  <c r="G29" i="19" s="1"/>
  <c r="C29" i="19"/>
  <c r="D29" i="19" s="1"/>
  <c r="F17" i="19"/>
  <c r="G17" i="19" s="1"/>
  <c r="C17" i="19"/>
  <c r="D17" i="19" s="1"/>
  <c r="F16" i="19"/>
  <c r="G16" i="19" s="1"/>
  <c r="C16" i="19"/>
  <c r="D16" i="19" s="1"/>
  <c r="F15" i="19"/>
  <c r="G15" i="19" s="1"/>
  <c r="C15" i="19"/>
  <c r="D15" i="19" s="1"/>
  <c r="F14" i="19"/>
  <c r="G14" i="19" s="1"/>
  <c r="C14" i="19"/>
  <c r="D14" i="19" s="1"/>
  <c r="F13" i="19"/>
  <c r="G13" i="19" s="1"/>
  <c r="C13" i="19"/>
  <c r="D13" i="19" s="1"/>
  <c r="F12" i="19"/>
  <c r="G12" i="19" s="1"/>
  <c r="C12" i="19"/>
  <c r="D12" i="19" s="1"/>
  <c r="F11" i="19"/>
  <c r="G11" i="19" s="1"/>
  <c r="C11" i="19"/>
  <c r="D11" i="19" s="1"/>
  <c r="F10" i="19"/>
  <c r="G10" i="19" s="1"/>
  <c r="C10" i="19"/>
  <c r="D10" i="19" s="1"/>
  <c r="F9" i="19"/>
  <c r="G9" i="19" s="1"/>
  <c r="C9" i="19"/>
  <c r="D9" i="19" s="1"/>
  <c r="F8" i="19"/>
  <c r="G8" i="19" s="1"/>
  <c r="C8" i="19"/>
  <c r="D8" i="19" s="1"/>
  <c r="F7" i="19"/>
  <c r="G7" i="19" s="1"/>
  <c r="C7" i="19"/>
  <c r="D7" i="19" s="1"/>
  <c r="H34" i="19"/>
  <c r="F6" i="19"/>
  <c r="G6" i="19" s="1"/>
  <c r="C6" i="19"/>
  <c r="D6" i="19" s="1"/>
  <c r="F5" i="19"/>
  <c r="G5" i="19" s="1"/>
  <c r="C5" i="19"/>
  <c r="D5" i="19" s="1"/>
  <c r="F4" i="19"/>
  <c r="G4" i="19" s="1"/>
  <c r="C4" i="19"/>
  <c r="D4" i="19" s="1"/>
  <c r="E34" i="19" l="1"/>
  <c r="F34" i="19" s="1"/>
  <c r="G34" i="19" s="1"/>
  <c r="I24" i="18"/>
  <c r="I21" i="18" l="1"/>
  <c r="I33" i="18" l="1"/>
  <c r="H6" i="18"/>
  <c r="H33" i="18" s="1"/>
  <c r="E6" i="18"/>
  <c r="F6" i="18" s="1"/>
  <c r="G6" i="18" s="1"/>
  <c r="N33" i="18"/>
  <c r="M33" i="18"/>
  <c r="L33" i="18"/>
  <c r="K33" i="18"/>
  <c r="J33" i="18"/>
  <c r="F31" i="18"/>
  <c r="G31" i="18" s="1"/>
  <c r="C31" i="18"/>
  <c r="D31" i="18" s="1"/>
  <c r="F30" i="18"/>
  <c r="G30" i="18" s="1"/>
  <c r="C30" i="18"/>
  <c r="D30" i="18" s="1"/>
  <c r="F29" i="18"/>
  <c r="G29" i="18" s="1"/>
  <c r="C29" i="18"/>
  <c r="D29" i="18" s="1"/>
  <c r="F28" i="18"/>
  <c r="G28" i="18" s="1"/>
  <c r="C28" i="18"/>
  <c r="D28" i="18" s="1"/>
  <c r="F27" i="18"/>
  <c r="G27" i="18" s="1"/>
  <c r="C27" i="18"/>
  <c r="D27" i="18" s="1"/>
  <c r="F26" i="18"/>
  <c r="G26" i="18" s="1"/>
  <c r="C26" i="18"/>
  <c r="D26" i="18" s="1"/>
  <c r="F25" i="18"/>
  <c r="G25" i="18" s="1"/>
  <c r="C25" i="18"/>
  <c r="D25" i="18" s="1"/>
  <c r="F24" i="18"/>
  <c r="G24" i="18" s="1"/>
  <c r="C24" i="18"/>
  <c r="D24" i="18" s="1"/>
  <c r="F23" i="18"/>
  <c r="G23" i="18" s="1"/>
  <c r="C23" i="18"/>
  <c r="D23" i="18" s="1"/>
  <c r="F22" i="18"/>
  <c r="G22" i="18" s="1"/>
  <c r="C22" i="18"/>
  <c r="D22" i="18" s="1"/>
  <c r="F21" i="18"/>
  <c r="G21" i="18" s="1"/>
  <c r="C21" i="18"/>
  <c r="D21" i="18" s="1"/>
  <c r="F20" i="18"/>
  <c r="G20" i="18" s="1"/>
  <c r="C20" i="18"/>
  <c r="D20" i="18" s="1"/>
  <c r="F19" i="18"/>
  <c r="G19" i="18" s="1"/>
  <c r="C19" i="18"/>
  <c r="D19" i="18" s="1"/>
  <c r="F18" i="18"/>
  <c r="G18" i="18" s="1"/>
  <c r="C18" i="18"/>
  <c r="D18" i="18" s="1"/>
  <c r="F17" i="18"/>
  <c r="G17" i="18" s="1"/>
  <c r="C17" i="18"/>
  <c r="D17" i="18" s="1"/>
  <c r="F16" i="18"/>
  <c r="G16" i="18" s="1"/>
  <c r="C16" i="18"/>
  <c r="D16" i="18" s="1"/>
  <c r="F15" i="18"/>
  <c r="G15" i="18" s="1"/>
  <c r="C15" i="18"/>
  <c r="D15" i="18" s="1"/>
  <c r="F14" i="18"/>
  <c r="G14" i="18" s="1"/>
  <c r="C14" i="18"/>
  <c r="D14" i="18" s="1"/>
  <c r="F13" i="18"/>
  <c r="G13" i="18" s="1"/>
  <c r="C13" i="18"/>
  <c r="D13" i="18" s="1"/>
  <c r="F12" i="18"/>
  <c r="G12" i="18" s="1"/>
  <c r="C12" i="18"/>
  <c r="D12" i="18" s="1"/>
  <c r="F11" i="18"/>
  <c r="G11" i="18" s="1"/>
  <c r="C11" i="18"/>
  <c r="D11" i="18" s="1"/>
  <c r="F10" i="18"/>
  <c r="G10" i="18" s="1"/>
  <c r="C10" i="18"/>
  <c r="D10" i="18" s="1"/>
  <c r="F9" i="18"/>
  <c r="G9" i="18" s="1"/>
  <c r="C33" i="18"/>
  <c r="D33" i="18" s="1"/>
  <c r="F8" i="18"/>
  <c r="G8" i="18" s="1"/>
  <c r="C8" i="18"/>
  <c r="D8" i="18" s="1"/>
  <c r="F7" i="18"/>
  <c r="G7" i="18" s="1"/>
  <c r="C7" i="18"/>
  <c r="D7" i="18" s="1"/>
  <c r="C6" i="18"/>
  <c r="D6" i="18" s="1"/>
  <c r="F5" i="18"/>
  <c r="G5" i="18" s="1"/>
  <c r="C5" i="18"/>
  <c r="D5" i="18" s="1"/>
  <c r="F4" i="18"/>
  <c r="G4" i="18" s="1"/>
  <c r="C4" i="18"/>
  <c r="D4" i="18" s="1"/>
  <c r="F3" i="18"/>
  <c r="G3" i="18" s="1"/>
  <c r="C3" i="18"/>
  <c r="D3" i="18" s="1"/>
  <c r="E33" i="18" l="1"/>
  <c r="F33" i="18" s="1"/>
  <c r="G33" i="18" s="1"/>
  <c r="C9" i="18"/>
  <c r="D9" i="18" s="1"/>
  <c r="I31" i="17"/>
  <c r="E31" i="17"/>
  <c r="B31" i="17"/>
  <c r="I25" i="17"/>
  <c r="E25" i="17"/>
  <c r="B25" i="17"/>
  <c r="C32" i="17" l="1"/>
  <c r="D32" i="17" s="1"/>
  <c r="F32" i="17"/>
  <c r="G32" i="17" s="1"/>
  <c r="C33" i="17"/>
  <c r="D33" i="17" s="1"/>
  <c r="F33" i="17"/>
  <c r="G33" i="17"/>
  <c r="I23" i="17"/>
  <c r="H23" i="17"/>
  <c r="E23" i="17"/>
  <c r="I18" i="17" l="1"/>
  <c r="H18" i="17"/>
  <c r="E18" i="17"/>
  <c r="B18" i="17"/>
  <c r="I16" i="17" l="1"/>
  <c r="E16" i="17"/>
  <c r="B16" i="17"/>
  <c r="I12" i="17" l="1"/>
  <c r="E12" i="17"/>
  <c r="I10" i="17"/>
  <c r="H10" i="17"/>
  <c r="E10" i="17"/>
  <c r="B10" i="17"/>
  <c r="I9" i="17"/>
  <c r="H9" i="17"/>
  <c r="E9" i="17"/>
  <c r="B9" i="17"/>
  <c r="I8" i="17"/>
  <c r="I3" i="17" l="1"/>
  <c r="C27" i="17" l="1"/>
  <c r="D27" i="17" s="1"/>
  <c r="F27" i="17"/>
  <c r="G27" i="17" s="1"/>
  <c r="C28" i="17"/>
  <c r="D28" i="17"/>
  <c r="F28" i="17"/>
  <c r="G28" i="17"/>
  <c r="C29" i="17"/>
  <c r="D29" i="17" s="1"/>
  <c r="F29" i="17"/>
  <c r="G29" i="17"/>
  <c r="M34" i="17"/>
  <c r="L34" i="17"/>
  <c r="K34" i="17"/>
  <c r="J34" i="17"/>
  <c r="H34" i="17"/>
  <c r="E34" i="17"/>
  <c r="F34" i="17" s="1"/>
  <c r="G34" i="17" s="1"/>
  <c r="F31" i="17"/>
  <c r="G31" i="17" s="1"/>
  <c r="C31" i="17"/>
  <c r="D31" i="17" s="1"/>
  <c r="I34" i="17"/>
  <c r="F30" i="17"/>
  <c r="G30" i="17" s="1"/>
  <c r="C30" i="17"/>
  <c r="D30" i="17" s="1"/>
  <c r="F26" i="17"/>
  <c r="G26" i="17" s="1"/>
  <c r="C26" i="17"/>
  <c r="D26" i="17" s="1"/>
  <c r="F25" i="17"/>
  <c r="G25" i="17" s="1"/>
  <c r="C25" i="17"/>
  <c r="D25" i="17" s="1"/>
  <c r="F24" i="17"/>
  <c r="G24" i="17" s="1"/>
  <c r="C24" i="17"/>
  <c r="D24" i="17" s="1"/>
  <c r="F23" i="17"/>
  <c r="G23" i="17" s="1"/>
  <c r="C23" i="17"/>
  <c r="D23" i="17" s="1"/>
  <c r="F22" i="17"/>
  <c r="G22" i="17" s="1"/>
  <c r="C22" i="17"/>
  <c r="D22" i="17" s="1"/>
  <c r="F21" i="17"/>
  <c r="G21" i="17" s="1"/>
  <c r="C21" i="17"/>
  <c r="D21" i="17" s="1"/>
  <c r="F20" i="17"/>
  <c r="G20" i="17" s="1"/>
  <c r="C20" i="17"/>
  <c r="D20" i="17" s="1"/>
  <c r="F19" i="17"/>
  <c r="G19" i="17" s="1"/>
  <c r="C19" i="17"/>
  <c r="D19" i="17" s="1"/>
  <c r="F18" i="17"/>
  <c r="G18" i="17" s="1"/>
  <c r="C18" i="17"/>
  <c r="D18" i="17" s="1"/>
  <c r="F17" i="17"/>
  <c r="G17" i="17" s="1"/>
  <c r="B34" i="17"/>
  <c r="C34" i="17" s="1"/>
  <c r="D34" i="17" s="1"/>
  <c r="F16" i="17"/>
  <c r="G16" i="17" s="1"/>
  <c r="C16" i="17"/>
  <c r="D16" i="17" s="1"/>
  <c r="F15" i="17"/>
  <c r="G15" i="17" s="1"/>
  <c r="C15" i="17"/>
  <c r="D15" i="17" s="1"/>
  <c r="F14" i="17"/>
  <c r="G14" i="17" s="1"/>
  <c r="C14" i="17"/>
  <c r="D14" i="17" s="1"/>
  <c r="F13" i="17"/>
  <c r="G13" i="17" s="1"/>
  <c r="C13" i="17"/>
  <c r="D13" i="17" s="1"/>
  <c r="F12" i="17"/>
  <c r="G12" i="17" s="1"/>
  <c r="C12" i="17"/>
  <c r="D12" i="17" s="1"/>
  <c r="F11" i="17"/>
  <c r="G11" i="17" s="1"/>
  <c r="C11" i="17"/>
  <c r="D11" i="17" s="1"/>
  <c r="F10" i="17"/>
  <c r="G10" i="17" s="1"/>
  <c r="C10" i="17"/>
  <c r="D10" i="17" s="1"/>
  <c r="F9" i="17"/>
  <c r="G9" i="17" s="1"/>
  <c r="C9" i="17"/>
  <c r="D9" i="17" s="1"/>
  <c r="F8" i="17"/>
  <c r="G8" i="17" s="1"/>
  <c r="C8" i="17"/>
  <c r="D8" i="17" s="1"/>
  <c r="F7" i="17"/>
  <c r="G7" i="17" s="1"/>
  <c r="C7" i="17"/>
  <c r="D7" i="17" s="1"/>
  <c r="F6" i="17"/>
  <c r="G6" i="17" s="1"/>
  <c r="C6" i="17"/>
  <c r="D6" i="17" s="1"/>
  <c r="F5" i="17"/>
  <c r="G5" i="17" s="1"/>
  <c r="C5" i="17"/>
  <c r="D5" i="17" s="1"/>
  <c r="F4" i="17"/>
  <c r="G4" i="17" s="1"/>
  <c r="C4" i="17"/>
  <c r="D4" i="17" s="1"/>
  <c r="F3" i="17"/>
  <c r="G3" i="17" s="1"/>
  <c r="C3" i="17"/>
  <c r="D3" i="17" s="1"/>
  <c r="C17" i="17" l="1"/>
  <c r="D17" i="17" s="1"/>
  <c r="I29" i="15"/>
  <c r="J31" i="15"/>
  <c r="I28" i="15"/>
  <c r="I27" i="15"/>
  <c r="B21" i="15"/>
  <c r="N31" i="15"/>
  <c r="M31" i="15"/>
  <c r="L31" i="15"/>
  <c r="K31" i="15"/>
  <c r="J34" i="16" l="1"/>
  <c r="B17" i="15" l="1"/>
  <c r="F31" i="15" l="1"/>
  <c r="G31" i="15" s="1"/>
  <c r="F30" i="15"/>
  <c r="G30" i="15" s="1"/>
  <c r="C30" i="15"/>
  <c r="D30" i="15" s="1"/>
  <c r="F29" i="15"/>
  <c r="G29" i="15" s="1"/>
  <c r="C29" i="15"/>
  <c r="D29" i="15" s="1"/>
  <c r="F28" i="15"/>
  <c r="G28" i="15" s="1"/>
  <c r="C28" i="15"/>
  <c r="D28" i="15" s="1"/>
  <c r="H31" i="15"/>
  <c r="F27" i="15"/>
  <c r="G27" i="15" s="1"/>
  <c r="C27" i="15"/>
  <c r="D27" i="15" s="1"/>
  <c r="F26" i="15"/>
  <c r="G26" i="15" s="1"/>
  <c r="C26" i="15"/>
  <c r="D26" i="15" s="1"/>
  <c r="F25" i="15"/>
  <c r="G25" i="15" s="1"/>
  <c r="C25" i="15"/>
  <c r="D25" i="15" s="1"/>
  <c r="F24" i="15"/>
  <c r="G24" i="15" s="1"/>
  <c r="C24" i="15"/>
  <c r="D24" i="15" s="1"/>
  <c r="F23" i="15"/>
  <c r="G23" i="15" s="1"/>
  <c r="C23" i="15"/>
  <c r="D23" i="15" s="1"/>
  <c r="F22" i="15"/>
  <c r="G22" i="15" s="1"/>
  <c r="C22" i="15"/>
  <c r="D22" i="15" s="1"/>
  <c r="F21" i="15"/>
  <c r="G21" i="15" s="1"/>
  <c r="C21" i="15"/>
  <c r="D21" i="15" s="1"/>
  <c r="F20" i="15"/>
  <c r="G20" i="15" s="1"/>
  <c r="C20" i="15"/>
  <c r="D20" i="15" s="1"/>
  <c r="F19" i="15"/>
  <c r="G19" i="15" s="1"/>
  <c r="C19" i="15"/>
  <c r="D19" i="15" s="1"/>
  <c r="F18" i="15"/>
  <c r="G18" i="15" s="1"/>
  <c r="C18" i="15"/>
  <c r="D18" i="15" s="1"/>
  <c r="F17" i="15"/>
  <c r="G17" i="15" s="1"/>
  <c r="C17" i="15"/>
  <c r="D17" i="15" s="1"/>
  <c r="F16" i="15"/>
  <c r="G16" i="15" s="1"/>
  <c r="C16" i="15"/>
  <c r="D16" i="15" s="1"/>
  <c r="F15" i="15"/>
  <c r="G15" i="15" s="1"/>
  <c r="C15" i="15"/>
  <c r="D15" i="15" s="1"/>
  <c r="F14" i="15"/>
  <c r="G14" i="15" s="1"/>
  <c r="C14" i="15"/>
  <c r="D14" i="15" s="1"/>
  <c r="F13" i="15"/>
  <c r="G13" i="15" s="1"/>
  <c r="C13" i="15"/>
  <c r="D13" i="15" s="1"/>
  <c r="F12" i="15"/>
  <c r="G12" i="15" s="1"/>
  <c r="C12" i="15"/>
  <c r="D12" i="15" s="1"/>
  <c r="F11" i="15"/>
  <c r="G11" i="15" s="1"/>
  <c r="C11" i="15"/>
  <c r="D11" i="15" s="1"/>
  <c r="F10" i="15"/>
  <c r="G10" i="15" s="1"/>
  <c r="C10" i="15"/>
  <c r="D10" i="15" s="1"/>
  <c r="F9" i="15"/>
  <c r="G9" i="15" s="1"/>
  <c r="C9" i="15"/>
  <c r="D9" i="15" s="1"/>
  <c r="F8" i="15"/>
  <c r="G8" i="15" s="1"/>
  <c r="C8" i="15"/>
  <c r="D8" i="15" s="1"/>
  <c r="F7" i="15"/>
  <c r="G7" i="15" s="1"/>
  <c r="C7" i="15"/>
  <c r="D7" i="15" s="1"/>
  <c r="F6" i="15"/>
  <c r="G6" i="15" s="1"/>
  <c r="C6" i="15"/>
  <c r="D6" i="15" s="1"/>
  <c r="I31" i="15"/>
  <c r="F5" i="15"/>
  <c r="G5" i="15" s="1"/>
  <c r="C5" i="15"/>
  <c r="D5" i="15" s="1"/>
  <c r="C31" i="15"/>
  <c r="D31" i="15" s="1"/>
  <c r="F4" i="15"/>
  <c r="G4" i="15" s="1"/>
  <c r="C4" i="15"/>
  <c r="D4" i="15" s="1"/>
  <c r="F3" i="15"/>
  <c r="G3" i="15" s="1"/>
  <c r="C3" i="15"/>
  <c r="D3" i="15" s="1"/>
  <c r="B29" i="16" l="1"/>
  <c r="I27" i="16"/>
  <c r="H27" i="16"/>
  <c r="E27" i="16"/>
  <c r="B27" i="16"/>
  <c r="I5" i="16" l="1"/>
  <c r="E5" i="16"/>
  <c r="B5" i="16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G25" i="16" s="1"/>
  <c r="D20" i="16"/>
  <c r="D22" i="16"/>
  <c r="F32" i="16"/>
  <c r="G32" i="16" s="1"/>
  <c r="C32" i="16"/>
  <c r="D32" i="16" s="1"/>
  <c r="C19" i="16"/>
  <c r="D19" i="16" s="1"/>
  <c r="C20" i="16"/>
  <c r="C21" i="16"/>
  <c r="D21" i="16" s="1"/>
  <c r="C22" i="16"/>
  <c r="C23" i="16"/>
  <c r="D23" i="16" s="1"/>
  <c r="C24" i="16"/>
  <c r="D24" i="16" s="1"/>
  <c r="C25" i="16"/>
  <c r="D25" i="16" s="1"/>
  <c r="F3" i="16" l="1"/>
  <c r="G3" i="16" s="1"/>
  <c r="C3" i="16"/>
  <c r="D3" i="16" s="1"/>
  <c r="E34" i="16"/>
  <c r="H34" i="16"/>
  <c r="I34" i="16"/>
  <c r="F4" i="16"/>
  <c r="G4" i="16" s="1"/>
  <c r="F5" i="16"/>
  <c r="G5" i="16" s="1"/>
  <c r="F6" i="16"/>
  <c r="G6" i="16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26" i="16"/>
  <c r="G26" i="16" s="1"/>
  <c r="F27" i="16"/>
  <c r="G27" i="16" s="1"/>
  <c r="F28" i="16"/>
  <c r="G28" i="16" s="1"/>
  <c r="F29" i="16"/>
  <c r="G29" i="16" s="1"/>
  <c r="F30" i="16"/>
  <c r="G30" i="16" s="1"/>
  <c r="F31" i="16"/>
  <c r="G31" i="16" s="1"/>
  <c r="F33" i="16"/>
  <c r="G33" i="16" s="1"/>
  <c r="D9" i="16"/>
  <c r="D10" i="16"/>
  <c r="C4" i="16"/>
  <c r="D4" i="16" s="1"/>
  <c r="C5" i="16"/>
  <c r="D5" i="16" s="1"/>
  <c r="C6" i="16"/>
  <c r="D6" i="16" s="1"/>
  <c r="C7" i="16"/>
  <c r="D7" i="16" s="1"/>
  <c r="C8" i="16"/>
  <c r="D8" i="16" s="1"/>
  <c r="C9" i="16"/>
  <c r="C10" i="16"/>
  <c r="C11" i="16"/>
  <c r="D11" i="16" s="1"/>
  <c r="C12" i="16"/>
  <c r="D12" i="16" s="1"/>
  <c r="C13" i="16"/>
  <c r="D13" i="16" s="1"/>
  <c r="C14" i="16"/>
  <c r="D14" i="16" s="1"/>
  <c r="C15" i="16"/>
  <c r="D15" i="16" s="1"/>
  <c r="C16" i="16"/>
  <c r="D16" i="16" s="1"/>
  <c r="C17" i="16"/>
  <c r="D17" i="16" s="1"/>
  <c r="C18" i="16"/>
  <c r="D18" i="16" s="1"/>
  <c r="C26" i="16"/>
  <c r="D26" i="16" s="1"/>
  <c r="C27" i="16"/>
  <c r="D27" i="16" s="1"/>
  <c r="C28" i="16"/>
  <c r="D28" i="16" s="1"/>
  <c r="C29" i="16"/>
  <c r="D29" i="16" s="1"/>
  <c r="C30" i="16"/>
  <c r="D30" i="16" s="1"/>
  <c r="C31" i="16"/>
  <c r="D31" i="16" s="1"/>
  <c r="C33" i="16"/>
  <c r="D33" i="16" s="1"/>
  <c r="C34" i="16" l="1"/>
  <c r="D34" i="16" s="1"/>
  <c r="F34" i="16"/>
  <c r="G34" i="16" s="1"/>
</calcChain>
</file>

<file path=xl/comments1.xml><?xml version="1.0" encoding="utf-8"?>
<comments xmlns="http://schemas.openxmlformats.org/spreadsheetml/2006/main">
  <authors>
    <author>User</author>
  </authors>
  <commentList>
    <comment ref="L3" authorId="0" shapeId="0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METROPOL YANLIŞ TUŞLANDI
</t>
        </r>
      </text>
    </comment>
  </commentList>
</comments>
</file>

<file path=xl/sharedStrings.xml><?xml version="1.0" encoding="utf-8"?>
<sst xmlns="http://schemas.openxmlformats.org/spreadsheetml/2006/main" count="157" uniqueCount="36">
  <si>
    <t>TARİH</t>
  </si>
  <si>
    <t>YİYECEK</t>
  </si>
  <si>
    <t>İÇECEK</t>
  </si>
  <si>
    <t>NAKİT</t>
  </si>
  <si>
    <t>K.KARTI</t>
  </si>
  <si>
    <t>QR ÖDEME</t>
  </si>
  <si>
    <t>NOTLAR</t>
  </si>
  <si>
    <t>200 TL METROPOL KART</t>
  </si>
  <si>
    <t>552 TL METROPOL KART - 270 TL TİCKET KART</t>
  </si>
  <si>
    <t>TİCKET 270 TL FAT KESİLDİ ÖDEME GELDİ</t>
  </si>
  <si>
    <t>METROPAL 752 TL FATURA KESİLDİ ÖDEME GELDİ</t>
  </si>
  <si>
    <t>YEMEK ÇEKİ 1022</t>
  </si>
  <si>
    <t>MULTİNET</t>
  </si>
  <si>
    <t>METROPOL</t>
  </si>
  <si>
    <t>TİCKET</t>
  </si>
  <si>
    <t>TRENDYOL ONLİNE</t>
  </si>
  <si>
    <t>FAT KESİLDİ</t>
  </si>
  <si>
    <t>ÖDEME GELDİ</t>
  </si>
  <si>
    <t>1594 TL FAT KESİLDİ</t>
  </si>
  <si>
    <t>72,5 TL FAT KESİLDİ</t>
  </si>
  <si>
    <t>606 TL FAT KESİLDİ</t>
  </si>
  <si>
    <t>5960 TL FAT KESİLDİ</t>
  </si>
  <si>
    <t>3568 TL FAT KESİLDİ</t>
  </si>
  <si>
    <t>TOPLAM 5887,5 FAT</t>
  </si>
  <si>
    <t>TOPLAM 4174 TL FAT</t>
  </si>
  <si>
    <t>NİSAN İÇİN KALAN 2252,5</t>
  </si>
  <si>
    <t>230 TL NİSAN FATDAN</t>
  </si>
  <si>
    <t>2252,5 TLSİ FAT KESİLDİ</t>
  </si>
  <si>
    <t>1955 TL FAT KESİLDİ</t>
  </si>
  <si>
    <t>1070 TL FAT KESİLDİ</t>
  </si>
  <si>
    <t>370 TL MAYISTAN FAT KESİLDİ</t>
  </si>
  <si>
    <t xml:space="preserve">GENEL TOPLAM 11162,5 OLMALI </t>
  </si>
  <si>
    <t>120 TL FARK VAR</t>
  </si>
  <si>
    <t>OLMASI GEREKEN</t>
  </si>
  <si>
    <t>YEMEK SEPETİ</t>
  </si>
  <si>
    <t>YEMEK SEPETEİ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</si>
</sst>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1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2" xfId="0" applyNumberFormat="1" applyBorder="1"/>
    <xf numFmtId="4" fontId="0" fillId="0" borderId="1" xfId="0" applyNumberFormat="1" applyBorder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" fontId="0" fillId="2" borderId="1" xfId="0" applyNumberFormat="1" applyFill="1" applyBorder="1"/>
    <xf numFmtId="0" fontId="0" fillId="4" borderId="0" xfId="0" applyFill="1"/>
    <xf numFmtId="0" fontId="0" fillId="3" borderId="1" xfId="0" applyFill="1" applyBorder="1" applyAlignment="1">
      <alignment horizontal="center" wrapText="1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/>
    <xf numFmtId="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1" fillId="0" borderId="0" xfId="0" applyNumberFormat="1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Alignment="1">
      <alignment horizontal="center"/>
    </xf>
    <xf numFmtId="4" fontId="4" fillId="2" borderId="1" xfId="0" applyNumberFormat="1" applyFont="1" applyFill="1" applyBorder="1"/>
    <xf numFmtId="14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zoomScale="90" zoomScaleNormal="90" workbookViewId="0">
      <pane ySplit="1" topLeftCell="A8" activePane="bottomLeft" state="frozen"/>
      <selection pane="bottomLeft" activeCell="J34" sqref="J34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44.6640625" style="4" customWidth="1"/>
    <col min="12" max="12" width="44.109375" bestFit="1" customWidth="1"/>
  </cols>
  <sheetData>
    <row r="1" spans="1:11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6</v>
      </c>
    </row>
    <row r="2" spans="1:11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</row>
    <row r="3" spans="1:11" x14ac:dyDescent="0.3">
      <c r="A3" s="7">
        <v>45658</v>
      </c>
      <c r="B3" s="14">
        <v>2730</v>
      </c>
      <c r="C3" s="9">
        <f>B3/1.1</f>
        <v>2481.8181818181815</v>
      </c>
      <c r="D3" s="9">
        <f>C3*0.1</f>
        <v>248.18181818181816</v>
      </c>
      <c r="E3" s="14">
        <v>7766</v>
      </c>
      <c r="F3" s="9">
        <f>E3/1.1</f>
        <v>7059.9999999999991</v>
      </c>
      <c r="G3" s="9">
        <f>F3*0.1</f>
        <v>706</v>
      </c>
      <c r="H3" s="14">
        <v>3684</v>
      </c>
      <c r="I3" s="14">
        <v>6812</v>
      </c>
      <c r="J3" s="9">
        <v>0</v>
      </c>
      <c r="K3" s="10"/>
    </row>
    <row r="4" spans="1:11" x14ac:dyDescent="0.3">
      <c r="A4" s="7">
        <v>45659</v>
      </c>
      <c r="B4" s="14">
        <v>2893.97</v>
      </c>
      <c r="C4" s="9">
        <f t="shared" ref="C4:C33" si="0">B4/1.1</f>
        <v>2630.8818181818178</v>
      </c>
      <c r="D4" s="9">
        <f t="shared" ref="D4:D33" si="1">C4*0.1</f>
        <v>263.08818181818179</v>
      </c>
      <c r="E4" s="14">
        <v>4605.03</v>
      </c>
      <c r="F4" s="9">
        <f t="shared" ref="F4:F33" si="2">E4/1.1</f>
        <v>4186.3909090909083</v>
      </c>
      <c r="G4" s="9">
        <f t="shared" ref="G4:G33" si="3">F4*0.1</f>
        <v>418.63909090909084</v>
      </c>
      <c r="H4" s="14">
        <v>1653</v>
      </c>
      <c r="I4" s="14">
        <v>5671</v>
      </c>
      <c r="J4" s="14">
        <v>175</v>
      </c>
      <c r="K4" s="10"/>
    </row>
    <row r="5" spans="1:11" x14ac:dyDescent="0.3">
      <c r="A5" s="7">
        <v>45660</v>
      </c>
      <c r="B5" s="14">
        <f>2775+285</f>
        <v>3060</v>
      </c>
      <c r="C5" s="9">
        <f t="shared" si="0"/>
        <v>2781.8181818181815</v>
      </c>
      <c r="D5" s="9">
        <f t="shared" si="1"/>
        <v>278.18181818181819</v>
      </c>
      <c r="E5" s="14">
        <f>8092+115</f>
        <v>8207</v>
      </c>
      <c r="F5" s="9">
        <f t="shared" si="2"/>
        <v>7460.9090909090901</v>
      </c>
      <c r="G5" s="9">
        <f t="shared" si="3"/>
        <v>746.09090909090901</v>
      </c>
      <c r="H5" s="14">
        <v>4258</v>
      </c>
      <c r="I5" s="14">
        <f>6609+400</f>
        <v>7009</v>
      </c>
      <c r="J5" s="9">
        <v>0</v>
      </c>
      <c r="K5" s="10"/>
    </row>
    <row r="6" spans="1:11" x14ac:dyDescent="0.3">
      <c r="A6" s="7">
        <v>45661</v>
      </c>
      <c r="B6" s="14">
        <v>2585</v>
      </c>
      <c r="C6" s="9">
        <f t="shared" si="0"/>
        <v>2350</v>
      </c>
      <c r="D6" s="9">
        <f t="shared" si="1"/>
        <v>235</v>
      </c>
      <c r="E6" s="14">
        <v>4243</v>
      </c>
      <c r="F6" s="9">
        <f t="shared" si="2"/>
        <v>3857.272727272727</v>
      </c>
      <c r="G6" s="9">
        <f t="shared" si="3"/>
        <v>385.72727272727275</v>
      </c>
      <c r="H6" s="14">
        <v>1030</v>
      </c>
      <c r="I6" s="14">
        <v>5603</v>
      </c>
      <c r="J6" s="14">
        <v>195</v>
      </c>
      <c r="K6" s="10"/>
    </row>
    <row r="7" spans="1:11" x14ac:dyDescent="0.3">
      <c r="A7" s="7">
        <v>45662</v>
      </c>
      <c r="B7" s="14">
        <v>2855</v>
      </c>
      <c r="C7" s="9">
        <f t="shared" si="0"/>
        <v>2595.454545454545</v>
      </c>
      <c r="D7" s="9">
        <f t="shared" si="1"/>
        <v>259.5454545454545</v>
      </c>
      <c r="E7" s="14">
        <v>6382</v>
      </c>
      <c r="F7" s="9">
        <f t="shared" si="2"/>
        <v>5801.8181818181811</v>
      </c>
      <c r="G7" s="9">
        <f t="shared" si="3"/>
        <v>580.18181818181813</v>
      </c>
      <c r="H7" s="14">
        <v>1242</v>
      </c>
      <c r="I7" s="14">
        <v>7910</v>
      </c>
      <c r="J7" s="14">
        <v>85</v>
      </c>
      <c r="K7" s="10"/>
    </row>
    <row r="8" spans="1:11" x14ac:dyDescent="0.3">
      <c r="A8" s="7">
        <v>45663</v>
      </c>
      <c r="B8" s="14">
        <v>3250</v>
      </c>
      <c r="C8" s="9">
        <f t="shared" si="0"/>
        <v>2954.5454545454545</v>
      </c>
      <c r="D8" s="9">
        <f t="shared" si="1"/>
        <v>295.45454545454544</v>
      </c>
      <c r="E8" s="14">
        <v>9461</v>
      </c>
      <c r="F8" s="9">
        <f t="shared" si="2"/>
        <v>8600.9090909090901</v>
      </c>
      <c r="G8" s="9">
        <f t="shared" si="3"/>
        <v>860.09090909090901</v>
      </c>
      <c r="H8" s="14">
        <v>2353</v>
      </c>
      <c r="I8" s="14">
        <v>10043</v>
      </c>
      <c r="J8" s="14">
        <v>315</v>
      </c>
      <c r="K8" s="10"/>
    </row>
    <row r="9" spans="1:11" x14ac:dyDescent="0.3">
      <c r="A9" s="7">
        <v>45664</v>
      </c>
      <c r="B9" s="14">
        <v>2530</v>
      </c>
      <c r="C9" s="9">
        <f t="shared" si="0"/>
        <v>2300</v>
      </c>
      <c r="D9" s="9">
        <f t="shared" si="1"/>
        <v>230</v>
      </c>
      <c r="E9" s="14">
        <v>6371</v>
      </c>
      <c r="F9" s="9">
        <f t="shared" si="2"/>
        <v>5791.8181818181811</v>
      </c>
      <c r="G9" s="9">
        <f t="shared" si="3"/>
        <v>579.18181818181813</v>
      </c>
      <c r="H9" s="14">
        <v>827</v>
      </c>
      <c r="I9" s="14">
        <v>7684</v>
      </c>
      <c r="J9" s="14">
        <v>390</v>
      </c>
      <c r="K9" s="10"/>
    </row>
    <row r="10" spans="1:11" x14ac:dyDescent="0.3">
      <c r="A10" s="7">
        <v>45665</v>
      </c>
      <c r="B10" s="14">
        <v>2040</v>
      </c>
      <c r="C10" s="9">
        <f t="shared" si="0"/>
        <v>1854.5454545454545</v>
      </c>
      <c r="D10" s="9">
        <f t="shared" si="1"/>
        <v>185.45454545454547</v>
      </c>
      <c r="E10" s="14">
        <v>8516</v>
      </c>
      <c r="F10" s="9">
        <f t="shared" si="2"/>
        <v>7741.8181818181811</v>
      </c>
      <c r="G10" s="9">
        <f t="shared" si="3"/>
        <v>774.18181818181813</v>
      </c>
      <c r="H10" s="14">
        <v>1035</v>
      </c>
      <c r="I10" s="14">
        <v>9321</v>
      </c>
      <c r="J10" s="14">
        <v>200</v>
      </c>
      <c r="K10" s="10"/>
    </row>
    <row r="11" spans="1:11" x14ac:dyDescent="0.3">
      <c r="A11" s="7">
        <v>45666</v>
      </c>
      <c r="B11" s="14">
        <v>4397.5</v>
      </c>
      <c r="C11" s="9">
        <f t="shared" si="0"/>
        <v>3997.7272727272725</v>
      </c>
      <c r="D11" s="9">
        <f t="shared" si="1"/>
        <v>399.77272727272725</v>
      </c>
      <c r="E11" s="14">
        <v>12741</v>
      </c>
      <c r="F11" s="9">
        <f t="shared" si="2"/>
        <v>11582.727272727272</v>
      </c>
      <c r="G11" s="9">
        <f t="shared" si="3"/>
        <v>1158.2727272727273</v>
      </c>
      <c r="H11" s="14">
        <v>4472</v>
      </c>
      <c r="I11" s="14">
        <v>12526.5</v>
      </c>
      <c r="J11" s="14">
        <v>140</v>
      </c>
      <c r="K11" s="10"/>
    </row>
    <row r="12" spans="1:11" x14ac:dyDescent="0.3">
      <c r="A12" s="7">
        <v>45667</v>
      </c>
      <c r="B12" s="14">
        <v>3420</v>
      </c>
      <c r="C12" s="9">
        <f t="shared" si="0"/>
        <v>3109.090909090909</v>
      </c>
      <c r="D12" s="9">
        <f t="shared" si="1"/>
        <v>310.90909090909093</v>
      </c>
      <c r="E12" s="14">
        <v>7334</v>
      </c>
      <c r="F12" s="9">
        <f t="shared" si="2"/>
        <v>6667.272727272727</v>
      </c>
      <c r="G12" s="9">
        <f t="shared" si="3"/>
        <v>666.72727272727275</v>
      </c>
      <c r="H12" s="14">
        <v>1495</v>
      </c>
      <c r="I12" s="14">
        <v>9004</v>
      </c>
      <c r="J12" s="14">
        <v>255</v>
      </c>
      <c r="K12" s="10"/>
    </row>
    <row r="13" spans="1:11" x14ac:dyDescent="0.3">
      <c r="A13" s="7">
        <v>45668</v>
      </c>
      <c r="B13" s="14">
        <v>3685</v>
      </c>
      <c r="C13" s="9">
        <f t="shared" si="0"/>
        <v>3349.9999999999995</v>
      </c>
      <c r="D13" s="9">
        <f t="shared" si="1"/>
        <v>335</v>
      </c>
      <c r="E13" s="14">
        <v>9432.5</v>
      </c>
      <c r="F13" s="9">
        <f t="shared" si="2"/>
        <v>8575</v>
      </c>
      <c r="G13" s="9">
        <f t="shared" si="3"/>
        <v>857.5</v>
      </c>
      <c r="H13" s="14">
        <v>2421.5</v>
      </c>
      <c r="I13" s="14">
        <v>10461</v>
      </c>
      <c r="J13" s="14">
        <v>235</v>
      </c>
      <c r="K13" s="10"/>
    </row>
    <row r="14" spans="1:11" x14ac:dyDescent="0.3">
      <c r="A14" s="7">
        <v>45669</v>
      </c>
      <c r="B14" s="14">
        <v>2075</v>
      </c>
      <c r="C14" s="9">
        <f t="shared" si="0"/>
        <v>1886.3636363636363</v>
      </c>
      <c r="D14" s="9">
        <f t="shared" si="1"/>
        <v>188.63636363636363</v>
      </c>
      <c r="E14" s="14">
        <v>4943.5</v>
      </c>
      <c r="F14" s="9">
        <f t="shared" si="2"/>
        <v>4494.090909090909</v>
      </c>
      <c r="G14" s="9">
        <f t="shared" si="3"/>
        <v>449.40909090909093</v>
      </c>
      <c r="H14" s="14">
        <v>1129</v>
      </c>
      <c r="I14" s="14">
        <v>5814.5</v>
      </c>
      <c r="J14" s="14">
        <v>75</v>
      </c>
      <c r="K14" s="10"/>
    </row>
    <row r="15" spans="1:11" x14ac:dyDescent="0.3">
      <c r="A15" s="7">
        <v>45670</v>
      </c>
      <c r="B15" s="14">
        <v>2465</v>
      </c>
      <c r="C15" s="9">
        <f t="shared" si="0"/>
        <v>2240.9090909090905</v>
      </c>
      <c r="D15" s="9">
        <f t="shared" si="1"/>
        <v>224.09090909090907</v>
      </c>
      <c r="E15" s="14">
        <v>5975.5</v>
      </c>
      <c r="F15" s="9">
        <f t="shared" si="2"/>
        <v>5432.272727272727</v>
      </c>
      <c r="G15" s="9">
        <f t="shared" si="3"/>
        <v>543.22727272727275</v>
      </c>
      <c r="H15" s="14">
        <v>1134.5</v>
      </c>
      <c r="I15" s="14">
        <v>6821</v>
      </c>
      <c r="J15" s="14">
        <v>485</v>
      </c>
      <c r="K15" s="10"/>
    </row>
    <row r="16" spans="1:11" x14ac:dyDescent="0.3">
      <c r="A16" s="7">
        <v>45671</v>
      </c>
      <c r="B16" s="14">
        <v>1303.58</v>
      </c>
      <c r="C16" s="9">
        <f t="shared" si="0"/>
        <v>1185.0727272727272</v>
      </c>
      <c r="D16" s="9">
        <f t="shared" si="1"/>
        <v>118.50727272727272</v>
      </c>
      <c r="E16" s="14">
        <v>3798.82</v>
      </c>
      <c r="F16" s="9">
        <f t="shared" si="2"/>
        <v>3453.4727272727273</v>
      </c>
      <c r="G16" s="9">
        <f t="shared" si="3"/>
        <v>345.34727272727275</v>
      </c>
      <c r="H16" s="14">
        <v>1367</v>
      </c>
      <c r="I16" s="14">
        <v>3536.4</v>
      </c>
      <c r="J16" s="14">
        <v>199</v>
      </c>
      <c r="K16" s="10"/>
    </row>
    <row r="17" spans="1:12" x14ac:dyDescent="0.3">
      <c r="A17" s="7">
        <v>45672</v>
      </c>
      <c r="B17" s="14">
        <v>2980.79</v>
      </c>
      <c r="C17" s="9">
        <f t="shared" si="0"/>
        <v>2709.8090909090906</v>
      </c>
      <c r="D17" s="9">
        <f t="shared" si="1"/>
        <v>270.98090909090905</v>
      </c>
      <c r="E17" s="14">
        <v>7804.21</v>
      </c>
      <c r="F17" s="9">
        <f t="shared" si="2"/>
        <v>7094.7363636363634</v>
      </c>
      <c r="G17" s="9">
        <f t="shared" si="3"/>
        <v>709.47363636363639</v>
      </c>
      <c r="H17" s="14">
        <v>590.5</v>
      </c>
      <c r="I17" s="14">
        <v>9944.5</v>
      </c>
      <c r="J17" s="14">
        <v>250</v>
      </c>
      <c r="K17" s="10"/>
    </row>
    <row r="18" spans="1:12" x14ac:dyDescent="0.3">
      <c r="A18" s="7">
        <v>45673</v>
      </c>
      <c r="B18" s="14">
        <v>3329.22</v>
      </c>
      <c r="C18" s="9">
        <f t="shared" si="0"/>
        <v>3026.5636363636359</v>
      </c>
      <c r="D18" s="9">
        <f t="shared" si="1"/>
        <v>302.65636363636361</v>
      </c>
      <c r="E18" s="14">
        <v>11360.28</v>
      </c>
      <c r="F18" s="9">
        <f t="shared" si="2"/>
        <v>10327.527272727273</v>
      </c>
      <c r="G18" s="9">
        <f t="shared" si="3"/>
        <v>1032.7527272727273</v>
      </c>
      <c r="H18" s="14">
        <v>3308</v>
      </c>
      <c r="I18" s="14">
        <v>11146.5</v>
      </c>
      <c r="J18" s="14">
        <v>235</v>
      </c>
      <c r="K18" s="10"/>
    </row>
    <row r="19" spans="1:12" x14ac:dyDescent="0.3">
      <c r="A19" s="7">
        <v>45674</v>
      </c>
      <c r="B19" s="14">
        <v>3415.65</v>
      </c>
      <c r="C19" s="9">
        <f t="shared" si="0"/>
        <v>3105.1363636363635</v>
      </c>
      <c r="D19" s="9">
        <f t="shared" si="1"/>
        <v>310.51363636363635</v>
      </c>
      <c r="E19" s="14">
        <v>8232.35</v>
      </c>
      <c r="F19" s="9">
        <f t="shared" si="2"/>
        <v>7483.954545454545</v>
      </c>
      <c r="G19" s="9">
        <f t="shared" si="3"/>
        <v>748.39545454545453</v>
      </c>
      <c r="H19" s="14">
        <v>1432.5</v>
      </c>
      <c r="I19" s="14">
        <v>10110.5</v>
      </c>
      <c r="J19" s="14">
        <v>105</v>
      </c>
      <c r="K19" s="10"/>
    </row>
    <row r="20" spans="1:12" x14ac:dyDescent="0.3">
      <c r="A20" s="7">
        <v>45675</v>
      </c>
      <c r="B20" s="14">
        <v>1880</v>
      </c>
      <c r="C20" s="9">
        <f t="shared" si="0"/>
        <v>1709.090909090909</v>
      </c>
      <c r="D20" s="9">
        <f t="shared" si="1"/>
        <v>170.90909090909091</v>
      </c>
      <c r="E20" s="14">
        <v>7754</v>
      </c>
      <c r="F20" s="9">
        <f t="shared" si="2"/>
        <v>7049.0909090909081</v>
      </c>
      <c r="G20" s="9">
        <f t="shared" si="3"/>
        <v>704.90909090909088</v>
      </c>
      <c r="H20" s="14">
        <v>1340</v>
      </c>
      <c r="I20" s="14">
        <v>8039</v>
      </c>
      <c r="J20" s="14">
        <v>255</v>
      </c>
      <c r="K20" s="10"/>
    </row>
    <row r="21" spans="1:12" x14ac:dyDescent="0.3">
      <c r="A21" s="7">
        <v>45676</v>
      </c>
      <c r="B21" s="14">
        <v>4235</v>
      </c>
      <c r="C21" s="9">
        <f t="shared" si="0"/>
        <v>3849.9999999999995</v>
      </c>
      <c r="D21" s="9">
        <f t="shared" si="1"/>
        <v>385</v>
      </c>
      <c r="E21" s="14">
        <v>13100</v>
      </c>
      <c r="F21" s="9">
        <f t="shared" si="2"/>
        <v>11909.090909090908</v>
      </c>
      <c r="G21" s="9">
        <f t="shared" si="3"/>
        <v>1190.9090909090908</v>
      </c>
      <c r="H21" s="14">
        <v>2446</v>
      </c>
      <c r="I21" s="14">
        <v>14594</v>
      </c>
      <c r="J21" s="14">
        <v>295</v>
      </c>
      <c r="K21" s="10"/>
    </row>
    <row r="22" spans="1:12" x14ac:dyDescent="0.3">
      <c r="A22" s="7">
        <v>45677</v>
      </c>
      <c r="B22" s="14">
        <v>2362.5</v>
      </c>
      <c r="C22" s="9">
        <f t="shared" si="0"/>
        <v>2147.7272727272725</v>
      </c>
      <c r="D22" s="9">
        <f t="shared" si="1"/>
        <v>214.77272727272725</v>
      </c>
      <c r="E22" s="14">
        <v>6089.5</v>
      </c>
      <c r="F22" s="9">
        <f t="shared" si="2"/>
        <v>5535.9090909090901</v>
      </c>
      <c r="G22" s="9">
        <f t="shared" si="3"/>
        <v>553.59090909090901</v>
      </c>
      <c r="H22" s="14">
        <v>1210</v>
      </c>
      <c r="I22" s="14">
        <v>6772</v>
      </c>
      <c r="J22" s="14">
        <v>470</v>
      </c>
      <c r="K22" s="10"/>
    </row>
    <row r="23" spans="1:12" x14ac:dyDescent="0.3">
      <c r="A23" s="7">
        <v>45678</v>
      </c>
      <c r="B23" s="14">
        <v>1687.5</v>
      </c>
      <c r="C23" s="9">
        <f t="shared" si="0"/>
        <v>1534.090909090909</v>
      </c>
      <c r="D23" s="9">
        <f t="shared" si="1"/>
        <v>153.40909090909091</v>
      </c>
      <c r="E23" s="14">
        <v>3994.5</v>
      </c>
      <c r="F23" s="9">
        <f t="shared" si="2"/>
        <v>3631.363636363636</v>
      </c>
      <c r="G23" s="9">
        <f t="shared" si="3"/>
        <v>363.13636363636363</v>
      </c>
      <c r="H23" s="14">
        <v>1351.5</v>
      </c>
      <c r="I23" s="14">
        <v>4330.5</v>
      </c>
      <c r="J23" s="9">
        <v>0</v>
      </c>
      <c r="K23" s="10"/>
    </row>
    <row r="24" spans="1:12" x14ac:dyDescent="0.3">
      <c r="A24" s="7">
        <v>45679</v>
      </c>
      <c r="B24" s="14">
        <v>3522.5</v>
      </c>
      <c r="C24" s="9">
        <f t="shared" si="0"/>
        <v>3202.272727272727</v>
      </c>
      <c r="D24" s="9">
        <f t="shared" si="1"/>
        <v>320.22727272727275</v>
      </c>
      <c r="E24" s="14">
        <v>8365.5</v>
      </c>
      <c r="F24" s="9">
        <f t="shared" si="2"/>
        <v>7604.9999999999991</v>
      </c>
      <c r="G24" s="9">
        <f t="shared" si="3"/>
        <v>760.5</v>
      </c>
      <c r="H24" s="14">
        <v>1666</v>
      </c>
      <c r="I24" s="14">
        <v>10143</v>
      </c>
      <c r="J24" s="14">
        <v>79</v>
      </c>
      <c r="K24" s="16" t="s">
        <v>7</v>
      </c>
    </row>
    <row r="25" spans="1:12" x14ac:dyDescent="0.3">
      <c r="A25" s="7">
        <v>45680</v>
      </c>
      <c r="B25" s="14">
        <v>2030.79</v>
      </c>
      <c r="C25" s="9">
        <f t="shared" si="0"/>
        <v>1846.1727272727271</v>
      </c>
      <c r="D25" s="9">
        <f t="shared" si="1"/>
        <v>184.61727272727273</v>
      </c>
      <c r="E25" s="14">
        <v>7411.46</v>
      </c>
      <c r="F25" s="9">
        <f t="shared" si="2"/>
        <v>6737.6909090909085</v>
      </c>
      <c r="G25" s="9">
        <f t="shared" si="3"/>
        <v>673.76909090909089</v>
      </c>
      <c r="H25" s="14">
        <v>1434</v>
      </c>
      <c r="I25" s="14">
        <v>7624.25</v>
      </c>
      <c r="J25" s="14">
        <v>384</v>
      </c>
      <c r="K25" s="10"/>
    </row>
    <row r="26" spans="1:12" x14ac:dyDescent="0.3">
      <c r="A26" s="7">
        <v>45681</v>
      </c>
      <c r="B26" s="14">
        <v>3120</v>
      </c>
      <c r="C26" s="9">
        <f t="shared" si="0"/>
        <v>2836.363636363636</v>
      </c>
      <c r="D26" s="9">
        <f t="shared" si="1"/>
        <v>283.63636363636363</v>
      </c>
      <c r="E26" s="14">
        <v>5743</v>
      </c>
      <c r="F26" s="9">
        <f t="shared" si="2"/>
        <v>5220.9090909090901</v>
      </c>
      <c r="G26" s="9">
        <f t="shared" si="3"/>
        <v>522.09090909090901</v>
      </c>
      <c r="H26" s="14">
        <v>1035</v>
      </c>
      <c r="I26" s="14">
        <v>7828</v>
      </c>
      <c r="J26" s="9">
        <v>0</v>
      </c>
      <c r="K26" s="16" t="s">
        <v>8</v>
      </c>
    </row>
    <row r="27" spans="1:12" x14ac:dyDescent="0.3">
      <c r="A27" s="7">
        <v>45682</v>
      </c>
      <c r="B27" s="14">
        <f>815+1194.5</f>
        <v>2009.5</v>
      </c>
      <c r="C27" s="9">
        <f t="shared" si="0"/>
        <v>1826.8181818181818</v>
      </c>
      <c r="D27" s="9">
        <f t="shared" si="1"/>
        <v>182.68181818181819</v>
      </c>
      <c r="E27" s="14">
        <f>1646.4+7526.5</f>
        <v>9172.9</v>
      </c>
      <c r="F27" s="9">
        <f t="shared" si="2"/>
        <v>8338.9999999999982</v>
      </c>
      <c r="G27" s="9">
        <f t="shared" si="3"/>
        <v>833.89999999999986</v>
      </c>
      <c r="H27" s="14">
        <f>130+220</f>
        <v>350</v>
      </c>
      <c r="I27" s="14">
        <f>2331.4+8501</f>
        <v>10832.4</v>
      </c>
      <c r="J27" s="9">
        <v>0</v>
      </c>
      <c r="K27" s="10"/>
    </row>
    <row r="28" spans="1:12" x14ac:dyDescent="0.3">
      <c r="A28" s="7">
        <v>45683</v>
      </c>
      <c r="B28" s="14">
        <v>2205.79</v>
      </c>
      <c r="C28" s="9">
        <f t="shared" si="0"/>
        <v>2005.2636363636361</v>
      </c>
      <c r="D28" s="9">
        <f t="shared" si="1"/>
        <v>200.52636363636361</v>
      </c>
      <c r="E28" s="14">
        <v>6998.61</v>
      </c>
      <c r="F28" s="9">
        <f t="shared" si="2"/>
        <v>6362.3727272727265</v>
      </c>
      <c r="G28" s="9">
        <f t="shared" si="3"/>
        <v>636.23727272727274</v>
      </c>
      <c r="H28" s="14">
        <v>935</v>
      </c>
      <c r="I28" s="14">
        <v>8149.4</v>
      </c>
      <c r="J28" s="14">
        <v>120</v>
      </c>
      <c r="K28" s="10"/>
    </row>
    <row r="29" spans="1:12" x14ac:dyDescent="0.3">
      <c r="A29" s="7">
        <v>45684</v>
      </c>
      <c r="B29" s="14">
        <f>2035</f>
        <v>2035</v>
      </c>
      <c r="C29" s="9">
        <f t="shared" si="0"/>
        <v>1849.9999999999998</v>
      </c>
      <c r="D29" s="9">
        <f t="shared" si="1"/>
        <v>185</v>
      </c>
      <c r="E29" s="14">
        <v>5353.4</v>
      </c>
      <c r="F29" s="9">
        <f t="shared" si="2"/>
        <v>4866.7272727272721</v>
      </c>
      <c r="G29" s="9">
        <f t="shared" si="3"/>
        <v>486.67272727272723</v>
      </c>
      <c r="H29" s="14">
        <v>1454</v>
      </c>
      <c r="I29" s="14">
        <v>5869.4</v>
      </c>
      <c r="J29" s="14">
        <v>65</v>
      </c>
      <c r="K29" s="10"/>
    </row>
    <row r="30" spans="1:12" x14ac:dyDescent="0.3">
      <c r="A30" s="7">
        <v>45685</v>
      </c>
      <c r="B30" s="14">
        <v>3586.72</v>
      </c>
      <c r="C30" s="9">
        <f t="shared" si="0"/>
        <v>3260.6545454545449</v>
      </c>
      <c r="D30" s="9">
        <f t="shared" si="1"/>
        <v>326.06545454545449</v>
      </c>
      <c r="E30" s="14">
        <v>8379.18</v>
      </c>
      <c r="F30" s="9">
        <f t="shared" si="2"/>
        <v>7617.4363636363632</v>
      </c>
      <c r="G30" s="9">
        <f t="shared" si="3"/>
        <v>761.74363636363637</v>
      </c>
      <c r="H30" s="14">
        <v>3065</v>
      </c>
      <c r="I30" s="14">
        <v>8553.9</v>
      </c>
      <c r="J30" s="14">
        <v>347</v>
      </c>
      <c r="K30" s="10"/>
    </row>
    <row r="31" spans="1:12" x14ac:dyDescent="0.3">
      <c r="A31" s="7">
        <v>45686</v>
      </c>
      <c r="B31" s="14">
        <v>2265</v>
      </c>
      <c r="C31" s="9">
        <f t="shared" si="0"/>
        <v>2059.090909090909</v>
      </c>
      <c r="D31" s="9">
        <f t="shared" si="1"/>
        <v>205.90909090909091</v>
      </c>
      <c r="E31" s="14">
        <v>9519</v>
      </c>
      <c r="F31" s="9">
        <f t="shared" si="2"/>
        <v>8653.6363636363621</v>
      </c>
      <c r="G31" s="9">
        <f t="shared" si="3"/>
        <v>865.36363636363626</v>
      </c>
      <c r="H31" s="14">
        <v>1850</v>
      </c>
      <c r="I31" s="14">
        <v>9504</v>
      </c>
      <c r="J31" s="14">
        <v>430</v>
      </c>
      <c r="K31" s="10"/>
    </row>
    <row r="32" spans="1:12" x14ac:dyDescent="0.3">
      <c r="A32" s="7">
        <v>45687</v>
      </c>
      <c r="B32" s="14">
        <v>2535</v>
      </c>
      <c r="C32" s="9">
        <f t="shared" si="0"/>
        <v>2304.5454545454545</v>
      </c>
      <c r="D32" s="9">
        <f t="shared" si="1"/>
        <v>230.45454545454547</v>
      </c>
      <c r="E32" s="14">
        <v>7760</v>
      </c>
      <c r="F32" s="9">
        <f t="shared" si="2"/>
        <v>7054.545454545454</v>
      </c>
      <c r="G32" s="9">
        <f t="shared" si="3"/>
        <v>705.4545454545455</v>
      </c>
      <c r="H32" s="14">
        <v>3021</v>
      </c>
      <c r="I32" s="14">
        <v>6949</v>
      </c>
      <c r="J32" s="14">
        <v>325</v>
      </c>
      <c r="K32" s="10"/>
      <c r="L32" s="21" t="s">
        <v>9</v>
      </c>
    </row>
    <row r="33" spans="1:12" x14ac:dyDescent="0.3">
      <c r="A33" s="7">
        <v>45688</v>
      </c>
      <c r="B33" s="14">
        <v>2849.11</v>
      </c>
      <c r="C33" s="9">
        <f t="shared" si="0"/>
        <v>2590.1</v>
      </c>
      <c r="D33" s="9">
        <f t="shared" si="1"/>
        <v>259.01</v>
      </c>
      <c r="E33" s="14">
        <v>12427.89</v>
      </c>
      <c r="F33" s="9">
        <f t="shared" si="2"/>
        <v>11298.081818181816</v>
      </c>
      <c r="G33" s="9">
        <f t="shared" si="3"/>
        <v>1129.8081818181815</v>
      </c>
      <c r="H33" s="14">
        <v>2210</v>
      </c>
      <c r="I33" s="14">
        <v>12672</v>
      </c>
      <c r="J33" s="14">
        <v>395</v>
      </c>
      <c r="K33" s="10"/>
      <c r="L33" s="21" t="s">
        <v>10</v>
      </c>
    </row>
    <row r="34" spans="1:12" x14ac:dyDescent="0.3">
      <c r="B34" s="6">
        <f>SUM(B3:B33)</f>
        <v>85340.12</v>
      </c>
      <c r="C34" s="8">
        <f t="shared" ref="C34" si="4">B34/1.1</f>
        <v>77581.927272727262</v>
      </c>
      <c r="D34" s="8">
        <f t="shared" ref="D34" si="5">C34*10/100</f>
        <v>7758.1927272727262</v>
      </c>
      <c r="E34" s="6">
        <f>SUM(E3:E33)</f>
        <v>239242.12999999995</v>
      </c>
      <c r="F34" s="8">
        <f t="shared" ref="F34" si="6">E34/1.1</f>
        <v>217492.8454545454</v>
      </c>
      <c r="G34" s="8">
        <f t="shared" ref="G34" si="7">F34*10/100</f>
        <v>21749.284545454542</v>
      </c>
      <c r="H34" s="6">
        <f>SUM(H3:H33)</f>
        <v>56799.5</v>
      </c>
      <c r="I34" s="6">
        <f>SUM(I3:I33)</f>
        <v>261278.74999999997</v>
      </c>
      <c r="J34" s="6">
        <f>SUM(J3:J33)</f>
        <v>6504</v>
      </c>
    </row>
    <row r="35" spans="1:12" x14ac:dyDescent="0.3">
      <c r="B35" s="5"/>
      <c r="C35" s="5"/>
      <c r="D35" s="5"/>
      <c r="E35" s="5"/>
      <c r="F35" s="5"/>
      <c r="G35" s="5"/>
      <c r="H35" s="5"/>
      <c r="I35" s="5"/>
      <c r="J35" s="5"/>
    </row>
    <row r="36" spans="1:12" x14ac:dyDescent="0.3">
      <c r="D36" s="5"/>
      <c r="I36" s="5"/>
      <c r="J36" s="15" t="s">
        <v>11</v>
      </c>
    </row>
  </sheetData>
  <pageMargins left="0.7" right="0.7" top="0.75" bottom="0.75" header="0.3" footer="0.3"/>
  <pageSetup paperSize="9" scale="9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6"/>
  <sheetViews>
    <sheetView workbookViewId="0">
      <pane ySplit="1" topLeftCell="A20" activePane="bottomLeft" state="frozen"/>
      <selection pane="bottomLeft" activeCell="B34" sqref="B34:N34"/>
    </sheetView>
  </sheetViews>
  <sheetFormatPr defaultRowHeight="14.4" x14ac:dyDescent="0.3"/>
  <cols>
    <col min="1" max="1" width="10.88671875" style="34" bestFit="1" customWidth="1"/>
    <col min="2" max="2" width="12.6640625" style="28" customWidth="1"/>
    <col min="3" max="3" width="13.88671875" style="28" customWidth="1"/>
    <col min="4" max="4" width="14.88671875" style="28" customWidth="1"/>
    <col min="5" max="5" width="11.109375" style="28" bestFit="1" customWidth="1"/>
    <col min="6" max="6" width="11" style="28" bestFit="1" customWidth="1"/>
    <col min="7" max="7" width="9.88671875" style="28" bestFit="1" customWidth="1"/>
    <col min="8" max="8" width="11.109375" style="28" bestFit="1" customWidth="1"/>
    <col min="9" max="9" width="13.6640625" style="28" bestFit="1" customWidth="1"/>
    <col min="10" max="10" width="16.33203125" style="28" bestFit="1" customWidth="1"/>
    <col min="11" max="11" width="18" style="34" bestFit="1" customWidth="1"/>
    <col min="12" max="12" width="10.5546875" style="34" bestFit="1" customWidth="1"/>
    <col min="13" max="13" width="8.88671875" style="34"/>
    <col min="14" max="14" width="16.88671875" style="34" bestFit="1" customWidth="1"/>
    <col min="15" max="16384" width="8.88671875" style="28"/>
  </cols>
  <sheetData>
    <row r="1" spans="1:14" x14ac:dyDescent="0.3">
      <c r="A1" s="24" t="s">
        <v>0</v>
      </c>
      <c r="B1" s="25" t="s">
        <v>1</v>
      </c>
      <c r="C1" s="25"/>
      <c r="D1" s="25"/>
      <c r="E1" s="24" t="s">
        <v>2</v>
      </c>
      <c r="F1" s="25"/>
      <c r="G1" s="25"/>
      <c r="H1" s="25" t="s">
        <v>3</v>
      </c>
      <c r="I1" s="25" t="s">
        <v>4</v>
      </c>
      <c r="J1" s="26" t="s">
        <v>5</v>
      </c>
      <c r="K1" s="27" t="s">
        <v>12</v>
      </c>
      <c r="L1" s="27" t="s">
        <v>13</v>
      </c>
      <c r="M1" s="27" t="s">
        <v>14</v>
      </c>
      <c r="N1" s="27" t="s">
        <v>15</v>
      </c>
    </row>
    <row r="2" spans="1:14" x14ac:dyDescent="0.3">
      <c r="A2" s="29"/>
      <c r="B2" s="30">
        <v>0.1</v>
      </c>
      <c r="C2" s="30"/>
      <c r="D2" s="30"/>
      <c r="E2" s="30">
        <v>0.1</v>
      </c>
      <c r="F2" s="30"/>
      <c r="G2" s="30"/>
      <c r="H2" s="24"/>
      <c r="I2" s="24"/>
      <c r="J2" s="24"/>
      <c r="K2" s="24"/>
      <c r="L2" s="24"/>
      <c r="M2" s="24"/>
      <c r="N2" s="24"/>
    </row>
    <row r="3" spans="1:14" x14ac:dyDescent="0.3">
      <c r="A3" s="31">
        <v>45931</v>
      </c>
      <c r="B3" s="14">
        <v>5635</v>
      </c>
      <c r="C3" s="32">
        <f t="shared" ref="C3:C34" si="0">B3/1.1</f>
        <v>5122.7272727272721</v>
      </c>
      <c r="D3" s="32">
        <f t="shared" ref="D3:D32" si="1">C3*0.1</f>
        <v>512.27272727272725</v>
      </c>
      <c r="E3" s="14">
        <v>19942.5</v>
      </c>
      <c r="F3" s="32">
        <f t="shared" ref="F3:F34" si="2">E3/1.1</f>
        <v>18129.545454545452</v>
      </c>
      <c r="G3" s="32">
        <f t="shared" ref="G3:G32" si="3">F3*0.1</f>
        <v>1812.9545454545453</v>
      </c>
      <c r="H3" s="14">
        <v>3192.5</v>
      </c>
      <c r="I3" s="14">
        <f>22385-975</f>
        <v>21410</v>
      </c>
      <c r="J3" s="14">
        <v>975</v>
      </c>
      <c r="K3" s="17">
        <v>595</v>
      </c>
      <c r="L3" s="17">
        <v>255</v>
      </c>
      <c r="M3" s="33">
        <v>0</v>
      </c>
      <c r="N3" s="33">
        <v>0</v>
      </c>
    </row>
    <row r="4" spans="1:14" x14ac:dyDescent="0.3">
      <c r="A4" s="31">
        <v>45932</v>
      </c>
      <c r="B4" s="14">
        <f>830+2462.9</f>
        <v>3292.9</v>
      </c>
      <c r="C4" s="32">
        <f t="shared" si="0"/>
        <v>2993.5454545454545</v>
      </c>
      <c r="D4" s="32">
        <f t="shared" si="1"/>
        <v>299.35454545454547</v>
      </c>
      <c r="E4" s="14">
        <f>11342.5+9509.6</f>
        <v>20852.099999999999</v>
      </c>
      <c r="F4" s="32">
        <f t="shared" si="2"/>
        <v>18956.454545454544</v>
      </c>
      <c r="G4" s="32">
        <f t="shared" si="3"/>
        <v>1895.6454545454544</v>
      </c>
      <c r="H4" s="14">
        <f>2735+1145</f>
        <v>3880</v>
      </c>
      <c r="I4" s="14">
        <f>9437.5+10827.5-355</f>
        <v>19910</v>
      </c>
      <c r="J4" s="14">
        <v>355</v>
      </c>
      <c r="K4" s="17">
        <v>205</v>
      </c>
      <c r="L4" s="33">
        <v>0</v>
      </c>
      <c r="M4" s="17">
        <v>675</v>
      </c>
      <c r="N4" s="33">
        <v>0</v>
      </c>
    </row>
    <row r="5" spans="1:14" x14ac:dyDescent="0.3">
      <c r="A5" s="31">
        <v>45933</v>
      </c>
      <c r="B5" s="14">
        <v>5227.5</v>
      </c>
      <c r="C5" s="32">
        <f t="shared" si="0"/>
        <v>4752.272727272727</v>
      </c>
      <c r="D5" s="32">
        <f t="shared" si="1"/>
        <v>475.22727272727275</v>
      </c>
      <c r="E5" s="14">
        <v>18117.5</v>
      </c>
      <c r="F5" s="32">
        <f t="shared" si="2"/>
        <v>16470.454545454544</v>
      </c>
      <c r="G5" s="32">
        <f t="shared" si="3"/>
        <v>1647.0454545454545</v>
      </c>
      <c r="H5" s="14">
        <v>6030</v>
      </c>
      <c r="I5" s="14">
        <f>17315-1525</f>
        <v>15790</v>
      </c>
      <c r="J5" s="14">
        <v>1525</v>
      </c>
      <c r="K5" s="17">
        <v>260</v>
      </c>
      <c r="L5" s="17">
        <v>730</v>
      </c>
      <c r="M5" s="17">
        <v>860</v>
      </c>
      <c r="N5" s="33">
        <v>0</v>
      </c>
    </row>
    <row r="6" spans="1:14" x14ac:dyDescent="0.3">
      <c r="A6" s="31">
        <v>45934</v>
      </c>
      <c r="B6" s="14">
        <v>5040</v>
      </c>
      <c r="C6" s="32">
        <f t="shared" si="0"/>
        <v>4581.8181818181811</v>
      </c>
      <c r="D6" s="32">
        <f t="shared" si="1"/>
        <v>458.18181818181813</v>
      </c>
      <c r="E6" s="14">
        <v>22405</v>
      </c>
      <c r="F6" s="32">
        <f t="shared" si="2"/>
        <v>20368.181818181816</v>
      </c>
      <c r="G6" s="32">
        <f t="shared" si="3"/>
        <v>2036.8181818181818</v>
      </c>
      <c r="H6" s="14">
        <v>5277.5</v>
      </c>
      <c r="I6" s="14">
        <f>22167.5-1235</f>
        <v>20932.5</v>
      </c>
      <c r="J6" s="14">
        <v>1235</v>
      </c>
      <c r="K6" s="33">
        <v>0</v>
      </c>
      <c r="L6" s="17">
        <v>247.5</v>
      </c>
      <c r="M6" s="33">
        <v>0</v>
      </c>
      <c r="N6" s="33">
        <v>0</v>
      </c>
    </row>
    <row r="7" spans="1:14" x14ac:dyDescent="0.3">
      <c r="A7" s="31">
        <v>45935</v>
      </c>
      <c r="B7" s="14">
        <v>5260</v>
      </c>
      <c r="C7" s="32">
        <f t="shared" si="0"/>
        <v>4781.8181818181811</v>
      </c>
      <c r="D7" s="32">
        <f t="shared" si="1"/>
        <v>478.18181818181813</v>
      </c>
      <c r="E7" s="14">
        <v>31845.7</v>
      </c>
      <c r="F7" s="32">
        <f t="shared" si="2"/>
        <v>28950.63636363636</v>
      </c>
      <c r="G7" s="32">
        <f t="shared" si="3"/>
        <v>2895.0636363636363</v>
      </c>
      <c r="H7" s="14">
        <v>7770</v>
      </c>
      <c r="I7" s="14">
        <f>29335.7-1810</f>
        <v>27525.7</v>
      </c>
      <c r="J7" s="14">
        <v>1810</v>
      </c>
      <c r="K7" s="33">
        <v>0</v>
      </c>
      <c r="L7" s="17">
        <v>592.5</v>
      </c>
      <c r="M7" s="17">
        <v>255</v>
      </c>
      <c r="N7" s="33">
        <v>0</v>
      </c>
    </row>
    <row r="8" spans="1:14" x14ac:dyDescent="0.3">
      <c r="A8" s="31">
        <v>45936</v>
      </c>
      <c r="B8" s="14">
        <v>1947.5</v>
      </c>
      <c r="C8" s="32">
        <f t="shared" si="0"/>
        <v>1770.4545454545453</v>
      </c>
      <c r="D8" s="32">
        <f t="shared" si="1"/>
        <v>177.04545454545453</v>
      </c>
      <c r="E8" s="14">
        <v>21555</v>
      </c>
      <c r="F8" s="32">
        <f t="shared" si="2"/>
        <v>19595.454545454544</v>
      </c>
      <c r="G8" s="32">
        <f t="shared" si="3"/>
        <v>1959.5454545454545</v>
      </c>
      <c r="H8" s="14">
        <v>6295</v>
      </c>
      <c r="I8" s="14">
        <f>17207.5-410</f>
        <v>16797.5</v>
      </c>
      <c r="J8" s="14">
        <v>410</v>
      </c>
      <c r="K8" s="17">
        <v>35</v>
      </c>
      <c r="L8" s="17">
        <v>285</v>
      </c>
      <c r="M8" s="17">
        <v>170</v>
      </c>
      <c r="N8" s="33">
        <v>0</v>
      </c>
    </row>
    <row r="9" spans="1:14" x14ac:dyDescent="0.3">
      <c r="A9" s="31">
        <v>45937</v>
      </c>
      <c r="B9" s="14">
        <v>3270</v>
      </c>
      <c r="C9" s="32">
        <f t="shared" si="0"/>
        <v>2972.7272727272725</v>
      </c>
      <c r="D9" s="32">
        <f t="shared" si="1"/>
        <v>297.27272727272725</v>
      </c>
      <c r="E9" s="14">
        <v>15857.5</v>
      </c>
      <c r="F9" s="32">
        <f t="shared" si="2"/>
        <v>14415.90909090909</v>
      </c>
      <c r="G9" s="32">
        <f t="shared" si="3"/>
        <v>1441.590909090909</v>
      </c>
      <c r="H9" s="14">
        <v>2560</v>
      </c>
      <c r="I9" s="14">
        <f>16567.5-1000</f>
        <v>15567.5</v>
      </c>
      <c r="J9" s="14">
        <v>1000</v>
      </c>
      <c r="K9" s="33">
        <v>0</v>
      </c>
      <c r="L9" s="17">
        <v>150</v>
      </c>
      <c r="M9" s="33">
        <v>0</v>
      </c>
      <c r="N9" s="33">
        <v>0</v>
      </c>
    </row>
    <row r="10" spans="1:14" x14ac:dyDescent="0.3">
      <c r="A10" s="31">
        <v>45938</v>
      </c>
      <c r="B10" s="14">
        <v>3992.5</v>
      </c>
      <c r="C10" s="32">
        <f t="shared" si="0"/>
        <v>3629.545454545454</v>
      </c>
      <c r="D10" s="32">
        <f t="shared" si="1"/>
        <v>362.95454545454544</v>
      </c>
      <c r="E10" s="14">
        <v>18810</v>
      </c>
      <c r="F10" s="32">
        <f t="shared" si="2"/>
        <v>17100</v>
      </c>
      <c r="G10" s="32">
        <f t="shared" si="3"/>
        <v>1710</v>
      </c>
      <c r="H10" s="14">
        <v>4385</v>
      </c>
      <c r="I10" s="14">
        <f>18417.5-1505</f>
        <v>16912.5</v>
      </c>
      <c r="J10" s="14">
        <v>1505</v>
      </c>
      <c r="K10" s="17">
        <v>140</v>
      </c>
      <c r="L10" s="17">
        <v>400</v>
      </c>
      <c r="M10" s="17">
        <v>200</v>
      </c>
      <c r="N10" s="33">
        <v>0</v>
      </c>
    </row>
    <row r="11" spans="1:14" x14ac:dyDescent="0.3">
      <c r="A11" s="31">
        <v>45939</v>
      </c>
      <c r="B11" s="14">
        <v>2385</v>
      </c>
      <c r="C11" s="32">
        <f t="shared" si="0"/>
        <v>2168.181818181818</v>
      </c>
      <c r="D11" s="32">
        <f t="shared" si="1"/>
        <v>216.81818181818181</v>
      </c>
      <c r="E11" s="14">
        <v>17880</v>
      </c>
      <c r="F11" s="32">
        <f t="shared" si="2"/>
        <v>16254.545454545454</v>
      </c>
      <c r="G11" s="32">
        <f t="shared" si="3"/>
        <v>1625.4545454545455</v>
      </c>
      <c r="H11" s="14">
        <v>4725</v>
      </c>
      <c r="I11" s="14">
        <f>15540-1055</f>
        <v>14485</v>
      </c>
      <c r="J11" s="14">
        <v>1055</v>
      </c>
      <c r="K11" s="17">
        <v>365</v>
      </c>
      <c r="L11" s="17">
        <v>52.5</v>
      </c>
      <c r="M11" s="17">
        <v>415</v>
      </c>
      <c r="N11" s="33">
        <v>0</v>
      </c>
    </row>
    <row r="12" spans="1:14" x14ac:dyDescent="0.3">
      <c r="A12" s="31">
        <v>45940</v>
      </c>
      <c r="B12" s="14">
        <v>4677.5</v>
      </c>
      <c r="C12" s="32">
        <f t="shared" si="0"/>
        <v>4252.272727272727</v>
      </c>
      <c r="D12" s="32">
        <f t="shared" si="1"/>
        <v>425.22727272727275</v>
      </c>
      <c r="E12" s="14">
        <v>25177.5</v>
      </c>
      <c r="F12" s="32">
        <f t="shared" si="2"/>
        <v>22888.63636363636</v>
      </c>
      <c r="G12" s="32">
        <f t="shared" si="3"/>
        <v>2288.863636363636</v>
      </c>
      <c r="H12" s="14">
        <v>7357.5</v>
      </c>
      <c r="I12" s="14">
        <f>22497.5-745</f>
        <v>21752.5</v>
      </c>
      <c r="J12" s="14">
        <v>745</v>
      </c>
      <c r="K12" s="17">
        <v>505</v>
      </c>
      <c r="L12" s="17">
        <v>410</v>
      </c>
      <c r="M12" s="17">
        <v>790</v>
      </c>
      <c r="N12" s="33">
        <v>0</v>
      </c>
    </row>
    <row r="13" spans="1:14" x14ac:dyDescent="0.3">
      <c r="A13" s="31">
        <v>45941</v>
      </c>
      <c r="B13" s="14">
        <v>5440</v>
      </c>
      <c r="C13" s="32">
        <f t="shared" si="0"/>
        <v>4945.454545454545</v>
      </c>
      <c r="D13" s="32">
        <f t="shared" si="1"/>
        <v>494.5454545454545</v>
      </c>
      <c r="E13" s="14">
        <v>18335</v>
      </c>
      <c r="F13" s="32">
        <f t="shared" si="2"/>
        <v>16668.181818181816</v>
      </c>
      <c r="G13" s="32">
        <f t="shared" si="3"/>
        <v>1666.8181818181818</v>
      </c>
      <c r="H13" s="14">
        <v>2892.5</v>
      </c>
      <c r="I13" s="14">
        <f>20472.5-1177.5</f>
        <v>19295</v>
      </c>
      <c r="J13" s="14">
        <v>1177.5</v>
      </c>
      <c r="K13" s="17">
        <v>970</v>
      </c>
      <c r="L13" s="17">
        <v>132.5</v>
      </c>
      <c r="M13" s="33">
        <v>0</v>
      </c>
      <c r="N13" s="17">
        <v>410</v>
      </c>
    </row>
    <row r="14" spans="1:14" x14ac:dyDescent="0.3">
      <c r="A14" s="31">
        <v>45942</v>
      </c>
      <c r="B14" s="14">
        <v>4217.5</v>
      </c>
      <c r="C14" s="32">
        <f t="shared" si="0"/>
        <v>3834.090909090909</v>
      </c>
      <c r="D14" s="32">
        <f t="shared" si="1"/>
        <v>383.40909090909093</v>
      </c>
      <c r="E14" s="14">
        <v>27825</v>
      </c>
      <c r="F14" s="32">
        <f t="shared" si="2"/>
        <v>25295.454545454544</v>
      </c>
      <c r="G14" s="32">
        <f t="shared" si="3"/>
        <v>2529.5454545454545</v>
      </c>
      <c r="H14" s="14">
        <v>6485</v>
      </c>
      <c r="I14" s="14">
        <f>25557.5-1557.5</f>
        <v>24000</v>
      </c>
      <c r="J14" s="14">
        <v>1557.5</v>
      </c>
      <c r="K14" s="33">
        <v>0</v>
      </c>
      <c r="L14" s="17">
        <v>117.5</v>
      </c>
      <c r="M14" s="17">
        <v>260</v>
      </c>
      <c r="N14" s="33">
        <v>0</v>
      </c>
    </row>
    <row r="15" spans="1:14" x14ac:dyDescent="0.3">
      <c r="A15" s="31">
        <v>45943</v>
      </c>
      <c r="B15" s="14">
        <v>5312.5</v>
      </c>
      <c r="C15" s="32">
        <f t="shared" si="0"/>
        <v>4829.545454545454</v>
      </c>
      <c r="D15" s="32">
        <f t="shared" si="1"/>
        <v>482.95454545454544</v>
      </c>
      <c r="E15" s="14">
        <v>22730</v>
      </c>
      <c r="F15" s="32">
        <f t="shared" si="2"/>
        <v>20663.63636363636</v>
      </c>
      <c r="G15" s="32">
        <f t="shared" si="3"/>
        <v>2066.363636363636</v>
      </c>
      <c r="H15" s="14">
        <v>5242.5</v>
      </c>
      <c r="I15" s="14">
        <f>22800-1610</f>
        <v>21190</v>
      </c>
      <c r="J15" s="14">
        <v>1610</v>
      </c>
      <c r="K15" s="17">
        <v>100</v>
      </c>
      <c r="L15" s="17">
        <v>185</v>
      </c>
      <c r="M15" s="17">
        <v>325</v>
      </c>
      <c r="N15" s="33">
        <v>0</v>
      </c>
    </row>
    <row r="16" spans="1:14" x14ac:dyDescent="0.3">
      <c r="A16" s="31">
        <v>45944</v>
      </c>
      <c r="B16" s="14">
        <v>2797.5</v>
      </c>
      <c r="C16" s="32">
        <f t="shared" si="0"/>
        <v>2543.181818181818</v>
      </c>
      <c r="D16" s="32">
        <f t="shared" si="1"/>
        <v>254.31818181818181</v>
      </c>
      <c r="E16" s="14">
        <v>15407.5</v>
      </c>
      <c r="F16" s="32">
        <f t="shared" si="2"/>
        <v>14006.81818181818</v>
      </c>
      <c r="G16" s="32">
        <f t="shared" si="3"/>
        <v>1400.681818181818</v>
      </c>
      <c r="H16" s="14">
        <v>3737.5</v>
      </c>
      <c r="I16" s="14">
        <f>13717.5-940</f>
        <v>12777.5</v>
      </c>
      <c r="J16" s="14">
        <v>940</v>
      </c>
      <c r="K16" s="17">
        <v>255</v>
      </c>
      <c r="L16" s="33">
        <v>0</v>
      </c>
      <c r="M16" s="17">
        <v>675</v>
      </c>
      <c r="N16" s="17">
        <v>750</v>
      </c>
    </row>
    <row r="17" spans="1:14" x14ac:dyDescent="0.3">
      <c r="A17" s="31">
        <v>45945</v>
      </c>
      <c r="B17" s="14">
        <v>4307.07</v>
      </c>
      <c r="C17" s="32">
        <f t="shared" si="0"/>
        <v>3915.5181818181813</v>
      </c>
      <c r="D17" s="32">
        <f t="shared" si="1"/>
        <v>391.55181818181813</v>
      </c>
      <c r="E17" s="14">
        <v>15816.68</v>
      </c>
      <c r="F17" s="32">
        <f t="shared" si="2"/>
        <v>14378.8</v>
      </c>
      <c r="G17" s="32">
        <f t="shared" si="3"/>
        <v>1437.88</v>
      </c>
      <c r="H17" s="14">
        <v>4330</v>
      </c>
      <c r="I17" s="14">
        <f>15793.75-700</f>
        <v>15093.75</v>
      </c>
      <c r="J17" s="14">
        <v>700</v>
      </c>
      <c r="K17" s="17">
        <v>215</v>
      </c>
      <c r="L17" s="17">
        <v>857.5</v>
      </c>
      <c r="M17" s="33">
        <v>0</v>
      </c>
      <c r="N17" s="33">
        <v>0</v>
      </c>
    </row>
    <row r="18" spans="1:14" x14ac:dyDescent="0.3">
      <c r="A18" s="31">
        <v>45946</v>
      </c>
      <c r="B18" s="14">
        <v>5675</v>
      </c>
      <c r="C18" s="32">
        <f t="shared" si="0"/>
        <v>5159.090909090909</v>
      </c>
      <c r="D18" s="32">
        <f t="shared" si="1"/>
        <v>515.90909090909088</v>
      </c>
      <c r="E18" s="14">
        <v>22945</v>
      </c>
      <c r="F18" s="32">
        <f t="shared" si="2"/>
        <v>20859.090909090908</v>
      </c>
      <c r="G18" s="32">
        <f t="shared" si="3"/>
        <v>2085.909090909091</v>
      </c>
      <c r="H18" s="14">
        <v>3795</v>
      </c>
      <c r="I18" s="14">
        <f>24825-1555</f>
        <v>23270</v>
      </c>
      <c r="J18" s="14">
        <v>1555</v>
      </c>
      <c r="K18" s="33">
        <v>0</v>
      </c>
      <c r="L18" s="33">
        <v>0</v>
      </c>
      <c r="M18" s="17">
        <v>125</v>
      </c>
      <c r="N18" s="33">
        <v>0</v>
      </c>
    </row>
    <row r="19" spans="1:14" x14ac:dyDescent="0.3">
      <c r="A19" s="31">
        <v>45947</v>
      </c>
      <c r="B19" s="14">
        <v>4597.5</v>
      </c>
      <c r="C19" s="32">
        <f t="shared" si="0"/>
        <v>4179.545454545454</v>
      </c>
      <c r="D19" s="32">
        <f t="shared" si="1"/>
        <v>417.95454545454544</v>
      </c>
      <c r="E19" s="14">
        <v>23145</v>
      </c>
      <c r="F19" s="32">
        <f t="shared" si="2"/>
        <v>21040.909090909088</v>
      </c>
      <c r="G19" s="32">
        <f t="shared" si="3"/>
        <v>2104.090909090909</v>
      </c>
      <c r="H19" s="14">
        <v>3920</v>
      </c>
      <c r="I19" s="14">
        <f>23822.5-2045</f>
        <v>21777.5</v>
      </c>
      <c r="J19" s="14">
        <v>2045</v>
      </c>
      <c r="K19" s="33">
        <v>0</v>
      </c>
      <c r="L19" s="17">
        <v>100</v>
      </c>
      <c r="M19" s="33">
        <v>0</v>
      </c>
      <c r="N19" s="33">
        <v>0</v>
      </c>
    </row>
    <row r="20" spans="1:14" x14ac:dyDescent="0.3">
      <c r="A20" s="31">
        <v>45948</v>
      </c>
      <c r="B20" s="14">
        <v>5035</v>
      </c>
      <c r="C20" s="32">
        <f t="shared" si="0"/>
        <v>4577.272727272727</v>
      </c>
      <c r="D20" s="32">
        <f t="shared" si="1"/>
        <v>457.72727272727275</v>
      </c>
      <c r="E20" s="14">
        <v>22742.5</v>
      </c>
      <c r="F20" s="32">
        <f t="shared" si="2"/>
        <v>20675</v>
      </c>
      <c r="G20" s="32">
        <f t="shared" si="3"/>
        <v>2067.5</v>
      </c>
      <c r="H20" s="14">
        <v>5552.5</v>
      </c>
      <c r="I20" s="14">
        <f>21900-765</f>
        <v>21135</v>
      </c>
      <c r="J20" s="14">
        <v>765</v>
      </c>
      <c r="K20" s="17">
        <v>830</v>
      </c>
      <c r="L20" s="17">
        <v>455</v>
      </c>
      <c r="M20" s="17">
        <v>130</v>
      </c>
      <c r="N20" s="17">
        <v>325</v>
      </c>
    </row>
    <row r="21" spans="1:14" x14ac:dyDescent="0.3">
      <c r="A21" s="31">
        <v>45949</v>
      </c>
      <c r="B21" s="14">
        <v>3537.5</v>
      </c>
      <c r="C21" s="32">
        <f t="shared" si="0"/>
        <v>3215.9090909090905</v>
      </c>
      <c r="D21" s="32">
        <f t="shared" si="1"/>
        <v>321.59090909090907</v>
      </c>
      <c r="E21" s="14">
        <v>17787.5</v>
      </c>
      <c r="F21" s="32">
        <f t="shared" si="2"/>
        <v>16170.454545454544</v>
      </c>
      <c r="G21" s="32">
        <f t="shared" si="3"/>
        <v>1617.0454545454545</v>
      </c>
      <c r="H21" s="14">
        <v>3217.5</v>
      </c>
      <c r="I21" s="14">
        <f>18107.5-470</f>
        <v>17637.5</v>
      </c>
      <c r="J21" s="14">
        <v>470</v>
      </c>
      <c r="K21" s="17">
        <v>375</v>
      </c>
      <c r="L21" s="33">
        <v>0</v>
      </c>
      <c r="M21" s="17">
        <v>480</v>
      </c>
      <c r="N21" s="33">
        <v>0</v>
      </c>
    </row>
    <row r="22" spans="1:14" x14ac:dyDescent="0.3">
      <c r="A22" s="31">
        <v>45950</v>
      </c>
      <c r="B22" s="14">
        <v>2725</v>
      </c>
      <c r="C22" s="32">
        <f t="shared" si="0"/>
        <v>2477.272727272727</v>
      </c>
      <c r="D22" s="32">
        <f t="shared" si="1"/>
        <v>247.72727272727272</v>
      </c>
      <c r="E22" s="14">
        <v>17757.5</v>
      </c>
      <c r="F22" s="32">
        <f t="shared" si="2"/>
        <v>16143.181818181816</v>
      </c>
      <c r="G22" s="32">
        <f t="shared" si="3"/>
        <v>1614.3181818181818</v>
      </c>
      <c r="H22" s="14">
        <v>2402.5</v>
      </c>
      <c r="I22" s="14">
        <f>18080-1350</f>
        <v>16730</v>
      </c>
      <c r="J22" s="14">
        <v>1350</v>
      </c>
      <c r="K22" s="33">
        <v>0</v>
      </c>
      <c r="L22" s="33">
        <v>0</v>
      </c>
      <c r="M22" s="33">
        <v>0</v>
      </c>
      <c r="N22" s="33">
        <v>0</v>
      </c>
    </row>
    <row r="23" spans="1:14" x14ac:dyDescent="0.3">
      <c r="A23" s="31">
        <v>45951</v>
      </c>
      <c r="B23" s="14">
        <v>4970</v>
      </c>
      <c r="C23" s="32">
        <f t="shared" si="0"/>
        <v>4518.181818181818</v>
      </c>
      <c r="D23" s="32">
        <f t="shared" si="1"/>
        <v>451.81818181818181</v>
      </c>
      <c r="E23" s="14">
        <v>20147.5</v>
      </c>
      <c r="F23" s="32">
        <f t="shared" si="2"/>
        <v>18315.909090909088</v>
      </c>
      <c r="G23" s="32">
        <f t="shared" si="3"/>
        <v>1831.590909090909</v>
      </c>
      <c r="H23" s="14">
        <v>4025</v>
      </c>
      <c r="I23" s="14">
        <f>21092.5-1360</f>
        <v>19732.5</v>
      </c>
      <c r="J23" s="14">
        <v>1360</v>
      </c>
      <c r="K23" s="17">
        <v>125</v>
      </c>
      <c r="L23" s="17">
        <v>77.5</v>
      </c>
      <c r="M23" s="33">
        <v>0</v>
      </c>
      <c r="N23" s="33">
        <v>0</v>
      </c>
    </row>
    <row r="24" spans="1:14" x14ac:dyDescent="0.3">
      <c r="A24" s="31">
        <v>45952</v>
      </c>
      <c r="B24" s="14">
        <v>2232.5</v>
      </c>
      <c r="C24" s="32">
        <f t="shared" si="0"/>
        <v>2029.5454545454543</v>
      </c>
      <c r="D24" s="32">
        <f t="shared" si="1"/>
        <v>202.95454545454544</v>
      </c>
      <c r="E24" s="14">
        <v>17517.5</v>
      </c>
      <c r="F24" s="32">
        <f t="shared" si="2"/>
        <v>15924.999999999998</v>
      </c>
      <c r="G24" s="32">
        <f t="shared" si="3"/>
        <v>1592.5</v>
      </c>
      <c r="H24" s="14">
        <v>3647.5</v>
      </c>
      <c r="I24" s="14">
        <f>16102.5-1275</f>
        <v>14827.5</v>
      </c>
      <c r="J24" s="14">
        <v>1275</v>
      </c>
      <c r="K24" s="17">
        <v>205</v>
      </c>
      <c r="L24" s="33">
        <v>0</v>
      </c>
      <c r="M24" s="33">
        <v>0</v>
      </c>
      <c r="N24" s="33">
        <v>0</v>
      </c>
    </row>
    <row r="25" spans="1:14" x14ac:dyDescent="0.3">
      <c r="A25" s="31">
        <v>45953</v>
      </c>
      <c r="B25" s="14">
        <v>5580.5</v>
      </c>
      <c r="C25" s="32">
        <f t="shared" si="0"/>
        <v>5073.181818181818</v>
      </c>
      <c r="D25" s="32">
        <f t="shared" si="1"/>
        <v>507.31818181818181</v>
      </c>
      <c r="E25" s="14">
        <v>21320.5</v>
      </c>
      <c r="F25" s="32">
        <f t="shared" si="2"/>
        <v>19382.272727272724</v>
      </c>
      <c r="G25" s="32">
        <f t="shared" si="3"/>
        <v>1938.2272727272725</v>
      </c>
      <c r="H25" s="14">
        <v>6905</v>
      </c>
      <c r="I25" s="14">
        <f>19996-1681</f>
        <v>18315</v>
      </c>
      <c r="J25" s="14">
        <v>1681</v>
      </c>
      <c r="K25" s="33">
        <v>0</v>
      </c>
      <c r="L25" s="17">
        <v>115</v>
      </c>
      <c r="M25" s="33">
        <v>0</v>
      </c>
      <c r="N25" s="33">
        <v>0</v>
      </c>
    </row>
    <row r="26" spans="1:14" x14ac:dyDescent="0.3">
      <c r="A26" s="31">
        <v>45954</v>
      </c>
      <c r="B26" s="14">
        <v>4232.5</v>
      </c>
      <c r="C26" s="32">
        <f t="shared" si="0"/>
        <v>3847.7272727272725</v>
      </c>
      <c r="D26" s="32">
        <f t="shared" si="1"/>
        <v>384.77272727272725</v>
      </c>
      <c r="E26" s="14">
        <v>20505</v>
      </c>
      <c r="F26" s="32">
        <f t="shared" si="2"/>
        <v>18640.909090909088</v>
      </c>
      <c r="G26" s="32">
        <f t="shared" si="3"/>
        <v>1864.090909090909</v>
      </c>
      <c r="H26" s="14">
        <v>4837.5</v>
      </c>
      <c r="I26" s="14">
        <f>19900-565</f>
        <v>19335</v>
      </c>
      <c r="J26" s="14">
        <v>565</v>
      </c>
      <c r="K26" s="17">
        <v>865</v>
      </c>
      <c r="L26" s="33">
        <v>0</v>
      </c>
      <c r="M26" s="17">
        <v>480</v>
      </c>
      <c r="N26" s="33">
        <v>0</v>
      </c>
    </row>
    <row r="27" spans="1:14" x14ac:dyDescent="0.3">
      <c r="A27" s="31">
        <v>45955</v>
      </c>
      <c r="B27" s="14">
        <f>7072.5+135</f>
        <v>7207.5</v>
      </c>
      <c r="C27" s="32">
        <f t="shared" si="0"/>
        <v>6552.272727272727</v>
      </c>
      <c r="D27" s="32">
        <f t="shared" si="1"/>
        <v>655.22727272727275</v>
      </c>
      <c r="E27" s="14">
        <f>680+27700+80</f>
        <v>28460</v>
      </c>
      <c r="F27" s="32">
        <f t="shared" si="2"/>
        <v>25872.727272727272</v>
      </c>
      <c r="G27" s="32">
        <f t="shared" si="3"/>
        <v>2587.2727272727275</v>
      </c>
      <c r="H27" s="14">
        <f>35+3802.5</f>
        <v>3837.5</v>
      </c>
      <c r="I27" s="14">
        <f>645+30970-945+215</f>
        <v>30885</v>
      </c>
      <c r="J27" s="14">
        <v>945</v>
      </c>
      <c r="K27" s="33">
        <v>0</v>
      </c>
      <c r="L27" s="17">
        <v>185</v>
      </c>
      <c r="M27" s="33">
        <v>0</v>
      </c>
      <c r="N27" s="33">
        <v>0</v>
      </c>
    </row>
    <row r="28" spans="1:14" x14ac:dyDescent="0.3">
      <c r="A28" s="31">
        <v>45956</v>
      </c>
      <c r="B28" s="14">
        <v>4397.5</v>
      </c>
      <c r="C28" s="32">
        <f t="shared" si="0"/>
        <v>3997.7272727272725</v>
      </c>
      <c r="D28" s="32">
        <f t="shared" si="1"/>
        <v>399.77272727272725</v>
      </c>
      <c r="E28" s="14">
        <v>25742.5</v>
      </c>
      <c r="F28" s="32">
        <f t="shared" si="2"/>
        <v>23402.272727272724</v>
      </c>
      <c r="G28" s="32">
        <f t="shared" si="3"/>
        <v>2340.2272727272725</v>
      </c>
      <c r="H28" s="14">
        <v>5022.5</v>
      </c>
      <c r="I28" s="14">
        <f>25117.5-1600</f>
        <v>23517.5</v>
      </c>
      <c r="J28" s="14">
        <v>1600</v>
      </c>
      <c r="K28" s="33">
        <v>0</v>
      </c>
      <c r="L28" s="17">
        <v>422.5</v>
      </c>
      <c r="M28" s="33">
        <v>0</v>
      </c>
      <c r="N28" s="33">
        <v>0</v>
      </c>
    </row>
    <row r="29" spans="1:14" x14ac:dyDescent="0.3">
      <c r="A29" s="31">
        <v>45957</v>
      </c>
      <c r="B29" s="14">
        <v>3165</v>
      </c>
      <c r="C29" s="32">
        <f t="shared" si="0"/>
        <v>2877.272727272727</v>
      </c>
      <c r="D29" s="32">
        <f t="shared" si="1"/>
        <v>287.72727272727269</v>
      </c>
      <c r="E29" s="14">
        <v>20327.5</v>
      </c>
      <c r="F29" s="32">
        <f t="shared" si="2"/>
        <v>18479.545454545452</v>
      </c>
      <c r="G29" s="32">
        <f t="shared" si="3"/>
        <v>1847.9545454545453</v>
      </c>
      <c r="H29" s="14">
        <v>4095</v>
      </c>
      <c r="I29" s="14">
        <f>19397.5-535</f>
        <v>18862.5</v>
      </c>
      <c r="J29" s="14">
        <v>535</v>
      </c>
      <c r="K29" s="17">
        <v>140</v>
      </c>
      <c r="L29" s="17">
        <v>387.5</v>
      </c>
      <c r="M29" s="17">
        <v>610</v>
      </c>
      <c r="N29" s="33">
        <v>0</v>
      </c>
    </row>
    <row r="30" spans="1:14" x14ac:dyDescent="0.3">
      <c r="A30" s="31">
        <v>45958</v>
      </c>
      <c r="B30" s="14">
        <v>4520</v>
      </c>
      <c r="C30" s="32">
        <f t="shared" si="0"/>
        <v>4109.090909090909</v>
      </c>
      <c r="D30" s="32">
        <f t="shared" si="1"/>
        <v>410.90909090909093</v>
      </c>
      <c r="E30" s="14">
        <v>18475</v>
      </c>
      <c r="F30" s="32">
        <f t="shared" si="2"/>
        <v>16795.454545454544</v>
      </c>
      <c r="G30" s="32">
        <f t="shared" si="3"/>
        <v>1679.5454545454545</v>
      </c>
      <c r="H30" s="14">
        <v>4840</v>
      </c>
      <c r="I30" s="14">
        <f>18155-1022.5</f>
        <v>17132.5</v>
      </c>
      <c r="J30" s="14">
        <v>1022.5</v>
      </c>
      <c r="K30" s="33">
        <v>0</v>
      </c>
      <c r="L30" s="33">
        <v>0</v>
      </c>
      <c r="M30" s="33">
        <v>0</v>
      </c>
      <c r="N30" s="33">
        <v>0</v>
      </c>
    </row>
    <row r="31" spans="1:14" x14ac:dyDescent="0.3">
      <c r="A31" s="31">
        <v>45959</v>
      </c>
      <c r="B31" s="14">
        <v>10192.5</v>
      </c>
      <c r="C31" s="32">
        <f t="shared" si="0"/>
        <v>9265.9090909090901</v>
      </c>
      <c r="D31" s="32">
        <f t="shared" si="1"/>
        <v>926.59090909090901</v>
      </c>
      <c r="E31" s="14">
        <v>58622.25</v>
      </c>
      <c r="F31" s="32">
        <f t="shared" si="2"/>
        <v>53292.954545454544</v>
      </c>
      <c r="G31" s="32">
        <f t="shared" si="3"/>
        <v>5329.295454545455</v>
      </c>
      <c r="H31" s="14">
        <v>10763.75</v>
      </c>
      <c r="I31" s="14">
        <f>58051-3055</f>
        <v>54996</v>
      </c>
      <c r="J31" s="14">
        <v>3055</v>
      </c>
      <c r="K31" s="33">
        <v>0</v>
      </c>
      <c r="L31" s="33">
        <v>0</v>
      </c>
      <c r="M31" s="17">
        <v>280</v>
      </c>
      <c r="N31" s="33">
        <v>0</v>
      </c>
    </row>
    <row r="32" spans="1:14" ht="13.8" customHeight="1" x14ac:dyDescent="0.3">
      <c r="A32" s="31">
        <v>45960</v>
      </c>
      <c r="B32" s="14">
        <v>5105.0200000000004</v>
      </c>
      <c r="C32" s="32">
        <f t="shared" si="0"/>
        <v>4640.9272727272728</v>
      </c>
      <c r="D32" s="32">
        <f t="shared" si="1"/>
        <v>464.0927272727273</v>
      </c>
      <c r="E32" s="14">
        <v>19387.48</v>
      </c>
      <c r="F32" s="32">
        <f t="shared" si="2"/>
        <v>17624.981818181815</v>
      </c>
      <c r="G32" s="32">
        <f t="shared" si="3"/>
        <v>1762.4981818181816</v>
      </c>
      <c r="H32" s="14">
        <v>3657.5</v>
      </c>
      <c r="I32" s="14">
        <f>20645-715</f>
        <v>19930</v>
      </c>
      <c r="J32" s="14">
        <v>715</v>
      </c>
      <c r="K32" s="17">
        <v>100</v>
      </c>
      <c r="L32" s="33">
        <v>0</v>
      </c>
      <c r="M32" s="17">
        <v>100</v>
      </c>
      <c r="N32" s="17">
        <v>190</v>
      </c>
    </row>
    <row r="33" spans="1:14" ht="13.8" customHeight="1" x14ac:dyDescent="0.3">
      <c r="A33" s="31">
        <v>45961</v>
      </c>
      <c r="B33" s="14">
        <v>3917.49</v>
      </c>
      <c r="C33" s="32">
        <f t="shared" ref="C33" si="4">B33/1.1</f>
        <v>3561.3545454545451</v>
      </c>
      <c r="D33" s="32">
        <f t="shared" ref="D33" si="5">C33*0.1</f>
        <v>356.13545454545454</v>
      </c>
      <c r="E33" s="14">
        <v>18047.509999999998</v>
      </c>
      <c r="F33" s="32">
        <f t="shared" ref="F33" si="6">E33/1.1</f>
        <v>16406.827272727271</v>
      </c>
      <c r="G33" s="32">
        <f t="shared" ref="G33" si="7">F33*0.1</f>
        <v>1640.6827272727271</v>
      </c>
      <c r="H33" s="14">
        <v>4850</v>
      </c>
      <c r="I33" s="14">
        <f>17115-1125</f>
        <v>15990</v>
      </c>
      <c r="J33" s="14">
        <v>1125</v>
      </c>
      <c r="K33" s="33">
        <v>0</v>
      </c>
      <c r="L33" s="33">
        <v>0</v>
      </c>
      <c r="M33" s="33">
        <v>0</v>
      </c>
      <c r="N33" s="33">
        <v>0</v>
      </c>
    </row>
    <row r="34" spans="1:14" x14ac:dyDescent="0.3">
      <c r="B34" s="35">
        <f>SUM(B3:B33)</f>
        <v>139892.97999999998</v>
      </c>
      <c r="C34" s="36">
        <f t="shared" si="0"/>
        <v>127175.43636363634</v>
      </c>
      <c r="D34" s="36">
        <f t="shared" ref="D34" si="8">C34*10/100</f>
        <v>12717.543636363633</v>
      </c>
      <c r="E34" s="35">
        <f>SUM(E3:E33)</f>
        <v>685487.22</v>
      </c>
      <c r="F34" s="36">
        <f t="shared" si="2"/>
        <v>623170.19999999995</v>
      </c>
      <c r="G34" s="36">
        <f t="shared" ref="G34" si="9">F34*10/100</f>
        <v>62317.02</v>
      </c>
      <c r="H34" s="35">
        <f t="shared" ref="H34:N34" si="10">SUM(H3:H33)</f>
        <v>149528.75</v>
      </c>
      <c r="I34" s="35">
        <f t="shared" si="10"/>
        <v>637512.94999999995</v>
      </c>
      <c r="J34" s="37">
        <f t="shared" si="10"/>
        <v>36663.5</v>
      </c>
      <c r="K34" s="37">
        <f t="shared" si="10"/>
        <v>6285</v>
      </c>
      <c r="L34" s="37">
        <f t="shared" si="10"/>
        <v>6157.5</v>
      </c>
      <c r="M34" s="37">
        <f t="shared" si="10"/>
        <v>6830</v>
      </c>
      <c r="N34" s="37">
        <f t="shared" si="10"/>
        <v>1675</v>
      </c>
    </row>
    <row r="35" spans="1:14" x14ac:dyDescent="0.3">
      <c r="B35" s="38"/>
      <c r="C35" s="38"/>
      <c r="D35" s="38"/>
      <c r="E35" s="38"/>
      <c r="F35" s="38"/>
      <c r="G35" s="38"/>
      <c r="H35" s="38"/>
      <c r="I35" s="38"/>
      <c r="J35" s="38"/>
      <c r="K35" s="39"/>
      <c r="L35" s="39"/>
      <c r="M35" s="39"/>
      <c r="N35" s="39"/>
    </row>
    <row r="36" spans="1:14" x14ac:dyDescent="0.3">
      <c r="D36" s="38"/>
      <c r="I36" s="38"/>
    </row>
  </sheetData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pane ySplit="1" topLeftCell="A11" activePane="bottomLeft" state="frozen"/>
      <selection pane="bottomLeft" activeCell="M33" sqref="M33"/>
    </sheetView>
  </sheetViews>
  <sheetFormatPr defaultRowHeight="14.4" x14ac:dyDescent="0.3"/>
  <cols>
    <col min="1" max="1" width="10.88671875" style="34" bestFit="1" customWidth="1"/>
    <col min="2" max="2" width="12.6640625" style="28" customWidth="1"/>
    <col min="3" max="3" width="13.88671875" style="28" customWidth="1"/>
    <col min="4" max="4" width="14.88671875" style="28" customWidth="1"/>
    <col min="5" max="5" width="11.109375" style="28" bestFit="1" customWidth="1"/>
    <col min="6" max="6" width="11" style="28" bestFit="1" customWidth="1"/>
    <col min="7" max="7" width="9.88671875" style="28" bestFit="1" customWidth="1"/>
    <col min="8" max="8" width="11.109375" style="28" bestFit="1" customWidth="1"/>
    <col min="9" max="9" width="13.6640625" style="28" bestFit="1" customWidth="1"/>
    <col min="10" max="10" width="16.33203125" style="28" bestFit="1" customWidth="1"/>
    <col min="11" max="11" width="18" style="34" bestFit="1" customWidth="1"/>
    <col min="12" max="12" width="10.5546875" style="34" bestFit="1" customWidth="1"/>
    <col min="13" max="13" width="8.88671875" style="34"/>
    <col min="14" max="14" width="16.88671875" style="34" bestFit="1" customWidth="1"/>
    <col min="15" max="16384" width="8.88671875" style="28"/>
  </cols>
  <sheetData>
    <row r="1" spans="1:14" x14ac:dyDescent="0.3">
      <c r="A1" s="24" t="s">
        <v>0</v>
      </c>
      <c r="B1" s="25" t="s">
        <v>1</v>
      </c>
      <c r="C1" s="25"/>
      <c r="D1" s="25"/>
      <c r="E1" s="24" t="s">
        <v>2</v>
      </c>
      <c r="F1" s="25"/>
      <c r="G1" s="25"/>
      <c r="H1" s="25" t="s">
        <v>3</v>
      </c>
      <c r="I1" s="25" t="s">
        <v>4</v>
      </c>
      <c r="J1" s="26" t="s">
        <v>5</v>
      </c>
      <c r="K1" s="27" t="s">
        <v>12</v>
      </c>
      <c r="L1" s="27" t="s">
        <v>13</v>
      </c>
      <c r="M1" s="27" t="s">
        <v>14</v>
      </c>
      <c r="N1" s="27" t="s">
        <v>15</v>
      </c>
    </row>
    <row r="2" spans="1:14" x14ac:dyDescent="0.3">
      <c r="A2" s="29"/>
      <c r="B2" s="30">
        <v>0.1</v>
      </c>
      <c r="C2" s="30"/>
      <c r="D2" s="30"/>
      <c r="E2" s="30">
        <v>0.1</v>
      </c>
      <c r="F2" s="30"/>
      <c r="G2" s="30"/>
      <c r="H2" s="24"/>
      <c r="I2" s="24"/>
      <c r="J2" s="24"/>
      <c r="K2" s="24"/>
      <c r="L2" s="24"/>
      <c r="M2" s="24"/>
      <c r="N2" s="24"/>
    </row>
    <row r="3" spans="1:14" x14ac:dyDescent="0.3">
      <c r="A3" s="31">
        <v>45962</v>
      </c>
      <c r="B3" s="14">
        <v>6732.5</v>
      </c>
      <c r="C3" s="32">
        <f t="shared" ref="C3:C33" si="0">B3/1.1</f>
        <v>6120.454545454545</v>
      </c>
      <c r="D3" s="32">
        <f t="shared" ref="D3:D32" si="1">C3*0.1</f>
        <v>612.0454545454545</v>
      </c>
      <c r="E3" s="14">
        <v>28772.5</v>
      </c>
      <c r="F3" s="32">
        <f t="shared" ref="F3:F33" si="2">E3/1.1</f>
        <v>26156.81818181818</v>
      </c>
      <c r="G3" s="32">
        <f t="shared" ref="G3:G32" si="3">F3*0.1</f>
        <v>2615.681818181818</v>
      </c>
      <c r="H3" s="14">
        <v>6432.5</v>
      </c>
      <c r="I3" s="14">
        <f>29072.5-1430</f>
        <v>27642.5</v>
      </c>
      <c r="J3" s="14">
        <v>1430</v>
      </c>
      <c r="K3" s="17">
        <v>885</v>
      </c>
      <c r="L3" s="17">
        <v>810</v>
      </c>
      <c r="M3" s="17">
        <v>320</v>
      </c>
      <c r="N3" s="33">
        <v>0</v>
      </c>
    </row>
    <row r="4" spans="1:14" x14ac:dyDescent="0.3">
      <c r="A4" s="31">
        <v>45963</v>
      </c>
      <c r="B4" s="14">
        <v>4760</v>
      </c>
      <c r="C4" s="32">
        <f t="shared" si="0"/>
        <v>4327.272727272727</v>
      </c>
      <c r="D4" s="32">
        <f t="shared" si="1"/>
        <v>432.72727272727275</v>
      </c>
      <c r="E4" s="14">
        <v>23380</v>
      </c>
      <c r="F4" s="32">
        <f t="shared" si="2"/>
        <v>21254.545454545452</v>
      </c>
      <c r="G4" s="32">
        <f t="shared" si="3"/>
        <v>2125.4545454545455</v>
      </c>
      <c r="H4" s="14">
        <v>5550</v>
      </c>
      <c r="I4" s="14">
        <f>22590-1925</f>
        <v>20665</v>
      </c>
      <c r="J4" s="14">
        <v>1925</v>
      </c>
      <c r="K4" s="17">
        <v>280</v>
      </c>
      <c r="L4" s="33">
        <v>0</v>
      </c>
      <c r="M4" s="33">
        <v>0</v>
      </c>
      <c r="N4" s="33">
        <v>0</v>
      </c>
    </row>
    <row r="5" spans="1:14" x14ac:dyDescent="0.3">
      <c r="A5" s="31">
        <v>45964</v>
      </c>
      <c r="B5" s="14">
        <v>3365</v>
      </c>
      <c r="C5" s="32">
        <f t="shared" si="0"/>
        <v>3059.090909090909</v>
      </c>
      <c r="D5" s="32">
        <f t="shared" si="1"/>
        <v>305.90909090909093</v>
      </c>
      <c r="E5" s="14">
        <v>17997.5</v>
      </c>
      <c r="F5" s="32">
        <f t="shared" si="2"/>
        <v>16361.363636363634</v>
      </c>
      <c r="G5" s="32">
        <f t="shared" si="3"/>
        <v>1636.1363636363635</v>
      </c>
      <c r="H5" s="14">
        <v>5200</v>
      </c>
      <c r="I5" s="14">
        <f>16162.5-965</f>
        <v>15197.5</v>
      </c>
      <c r="J5" s="14">
        <v>965</v>
      </c>
      <c r="K5" s="17">
        <v>625</v>
      </c>
      <c r="L5" s="17">
        <v>405</v>
      </c>
      <c r="M5" s="17">
        <v>205</v>
      </c>
      <c r="N5" s="33"/>
    </row>
    <row r="6" spans="1:14" x14ac:dyDescent="0.3">
      <c r="A6" s="31">
        <v>45965</v>
      </c>
      <c r="B6" s="14">
        <v>4380</v>
      </c>
      <c r="C6" s="32">
        <f t="shared" si="0"/>
        <v>3981.8181818181815</v>
      </c>
      <c r="D6" s="32">
        <f t="shared" si="1"/>
        <v>398.18181818181819</v>
      </c>
      <c r="E6" s="14">
        <v>18384</v>
      </c>
      <c r="F6" s="32">
        <f t="shared" si="2"/>
        <v>16712.727272727272</v>
      </c>
      <c r="G6" s="32">
        <f t="shared" si="3"/>
        <v>1671.2727272727273</v>
      </c>
      <c r="H6" s="14">
        <v>6189</v>
      </c>
      <c r="I6" s="14">
        <f>16315-887.5</f>
        <v>15427.5</v>
      </c>
      <c r="J6" s="14">
        <v>887.5</v>
      </c>
      <c r="K6" s="33">
        <v>0</v>
      </c>
      <c r="L6" s="33">
        <v>0</v>
      </c>
      <c r="M6" s="17">
        <v>1100</v>
      </c>
      <c r="N6" s="17">
        <v>260</v>
      </c>
    </row>
    <row r="7" spans="1:14" x14ac:dyDescent="0.3">
      <c r="A7" s="31">
        <v>45966</v>
      </c>
      <c r="B7" s="14">
        <v>4024</v>
      </c>
      <c r="C7" s="32">
        <f t="shared" si="0"/>
        <v>3658.181818181818</v>
      </c>
      <c r="D7" s="32">
        <f t="shared" si="1"/>
        <v>365.81818181818181</v>
      </c>
      <c r="E7" s="14">
        <v>17585</v>
      </c>
      <c r="F7" s="32">
        <f t="shared" si="2"/>
        <v>15986.363636363634</v>
      </c>
      <c r="G7" s="32">
        <f t="shared" si="3"/>
        <v>1598.6363636363635</v>
      </c>
      <c r="H7" s="14">
        <v>3810</v>
      </c>
      <c r="I7" s="14">
        <f>17799-740</f>
        <v>17059</v>
      </c>
      <c r="J7" s="14">
        <v>740</v>
      </c>
      <c r="K7" s="17">
        <v>800</v>
      </c>
      <c r="L7" s="17">
        <v>295</v>
      </c>
      <c r="M7" s="17">
        <v>545</v>
      </c>
      <c r="N7" s="33">
        <v>0</v>
      </c>
    </row>
    <row r="8" spans="1:14" x14ac:dyDescent="0.3">
      <c r="A8" s="31">
        <v>45967</v>
      </c>
      <c r="B8" s="14">
        <v>5577.5</v>
      </c>
      <c r="C8" s="32">
        <f t="shared" si="0"/>
        <v>5070.454545454545</v>
      </c>
      <c r="D8" s="32">
        <f t="shared" si="1"/>
        <v>507.0454545454545</v>
      </c>
      <c r="E8" s="14">
        <v>22995</v>
      </c>
      <c r="F8" s="32">
        <f t="shared" si="2"/>
        <v>20904.545454545452</v>
      </c>
      <c r="G8" s="32">
        <f t="shared" si="3"/>
        <v>2090.4545454545455</v>
      </c>
      <c r="H8" s="14">
        <v>6330</v>
      </c>
      <c r="I8" s="14">
        <f>22242.5-930</f>
        <v>21312.5</v>
      </c>
      <c r="J8" s="14">
        <v>930</v>
      </c>
      <c r="K8" s="17">
        <v>1360</v>
      </c>
      <c r="L8" s="17">
        <v>262.5</v>
      </c>
      <c r="M8" s="17">
        <v>170</v>
      </c>
      <c r="N8" s="33">
        <v>0</v>
      </c>
    </row>
    <row r="9" spans="1:14" x14ac:dyDescent="0.3">
      <c r="A9" s="31">
        <v>45968</v>
      </c>
      <c r="B9" s="14">
        <v>4832.5</v>
      </c>
      <c r="C9" s="32">
        <f t="shared" si="0"/>
        <v>4393.181818181818</v>
      </c>
      <c r="D9" s="32">
        <f t="shared" si="1"/>
        <v>439.31818181818181</v>
      </c>
      <c r="E9" s="14">
        <v>23775</v>
      </c>
      <c r="F9" s="32">
        <f t="shared" si="2"/>
        <v>21613.63636363636</v>
      </c>
      <c r="G9" s="32">
        <f t="shared" si="3"/>
        <v>2161.363636363636</v>
      </c>
      <c r="H9" s="14">
        <v>6650</v>
      </c>
      <c r="I9" s="14">
        <f>21957.5-2537.5</f>
        <v>19420</v>
      </c>
      <c r="J9" s="14">
        <v>2537.5</v>
      </c>
      <c r="K9" s="17">
        <v>140</v>
      </c>
      <c r="L9" s="17">
        <v>330</v>
      </c>
      <c r="M9" s="17">
        <v>1050</v>
      </c>
      <c r="N9" s="33">
        <v>0</v>
      </c>
    </row>
    <row r="10" spans="1:14" x14ac:dyDescent="0.3">
      <c r="A10" s="31">
        <v>45969</v>
      </c>
      <c r="B10" s="14">
        <v>4587.5</v>
      </c>
      <c r="C10" s="32">
        <f t="shared" si="0"/>
        <v>4170.454545454545</v>
      </c>
      <c r="D10" s="32">
        <f t="shared" si="1"/>
        <v>417.0454545454545</v>
      </c>
      <c r="E10" s="14">
        <v>29245</v>
      </c>
      <c r="F10" s="32">
        <f t="shared" si="2"/>
        <v>26586.363636363636</v>
      </c>
      <c r="G10" s="32">
        <f t="shared" si="3"/>
        <v>2658.636363636364</v>
      </c>
      <c r="H10" s="14">
        <v>6730</v>
      </c>
      <c r="I10" s="14">
        <f>27102.5-1427.5</f>
        <v>25675</v>
      </c>
      <c r="J10" s="14">
        <v>1427.5</v>
      </c>
      <c r="K10" s="33">
        <v>0</v>
      </c>
      <c r="L10" s="17">
        <v>222.5</v>
      </c>
      <c r="M10" s="17">
        <v>1400</v>
      </c>
      <c r="N10" s="33">
        <v>0</v>
      </c>
    </row>
    <row r="11" spans="1:14" x14ac:dyDescent="0.3">
      <c r="A11" s="31">
        <v>45970</v>
      </c>
      <c r="B11" s="14">
        <v>3780</v>
      </c>
      <c r="C11" s="32">
        <f t="shared" si="0"/>
        <v>3436.363636363636</v>
      </c>
      <c r="D11" s="32">
        <f t="shared" si="1"/>
        <v>343.63636363636363</v>
      </c>
      <c r="E11" s="14">
        <v>23315</v>
      </c>
      <c r="F11" s="32">
        <f t="shared" si="2"/>
        <v>21195.454545454544</v>
      </c>
      <c r="G11" s="32">
        <f t="shared" si="3"/>
        <v>2119.5454545454545</v>
      </c>
      <c r="H11" s="14">
        <v>4635</v>
      </c>
      <c r="I11" s="14">
        <f>22460-1205</f>
        <v>21255</v>
      </c>
      <c r="J11" s="14">
        <v>1205</v>
      </c>
      <c r="K11" s="33">
        <v>0</v>
      </c>
      <c r="L11" s="17">
        <v>270</v>
      </c>
      <c r="M11" s="17">
        <v>450</v>
      </c>
      <c r="N11" s="33">
        <v>0</v>
      </c>
    </row>
    <row r="12" spans="1:14" x14ac:dyDescent="0.3">
      <c r="A12" s="31">
        <v>45971</v>
      </c>
      <c r="B12" s="14">
        <v>3045.5</v>
      </c>
      <c r="C12" s="32">
        <f t="shared" si="0"/>
        <v>2768.6363636363635</v>
      </c>
      <c r="D12" s="32">
        <f t="shared" si="1"/>
        <v>276.86363636363637</v>
      </c>
      <c r="E12" s="14">
        <v>22341</v>
      </c>
      <c r="F12" s="32">
        <f t="shared" si="2"/>
        <v>20310</v>
      </c>
      <c r="G12" s="32">
        <f t="shared" si="3"/>
        <v>2031</v>
      </c>
      <c r="H12" s="14">
        <v>5405</v>
      </c>
      <c r="I12" s="14">
        <f>19981.5-915</f>
        <v>19066.5</v>
      </c>
      <c r="J12" s="14">
        <v>915</v>
      </c>
      <c r="K12" s="17">
        <v>560</v>
      </c>
      <c r="L12" s="17">
        <v>95</v>
      </c>
      <c r="M12" s="17">
        <v>800</v>
      </c>
      <c r="N12" s="33">
        <v>0</v>
      </c>
    </row>
    <row r="13" spans="1:14" x14ac:dyDescent="0.3">
      <c r="A13" s="31">
        <v>45972</v>
      </c>
      <c r="B13" s="14">
        <v>2075</v>
      </c>
      <c r="C13" s="32">
        <f t="shared" si="0"/>
        <v>1886.3636363636363</v>
      </c>
      <c r="D13" s="32">
        <f t="shared" si="1"/>
        <v>188.63636363636363</v>
      </c>
      <c r="E13" s="14">
        <v>18263</v>
      </c>
      <c r="F13" s="32">
        <f t="shared" si="2"/>
        <v>16602.727272727272</v>
      </c>
      <c r="G13" s="32">
        <f t="shared" si="3"/>
        <v>1660.2727272727273</v>
      </c>
      <c r="H13" s="14">
        <v>3650</v>
      </c>
      <c r="I13" s="14">
        <f>16688-730</f>
        <v>15958</v>
      </c>
      <c r="J13" s="14">
        <v>730</v>
      </c>
      <c r="K13" s="33">
        <v>0</v>
      </c>
      <c r="L13" s="17">
        <v>380</v>
      </c>
      <c r="M13" s="33">
        <v>0</v>
      </c>
      <c r="N13" s="33">
        <v>0</v>
      </c>
    </row>
    <row r="14" spans="1:14" x14ac:dyDescent="0.3">
      <c r="A14" s="31">
        <v>45973</v>
      </c>
      <c r="B14" s="14">
        <v>2500.0100000000002</v>
      </c>
      <c r="C14" s="32">
        <f t="shared" si="0"/>
        <v>2272.7363636363639</v>
      </c>
      <c r="D14" s="32">
        <f t="shared" si="1"/>
        <v>227.2736363636364</v>
      </c>
      <c r="E14" s="14">
        <v>15902.49</v>
      </c>
      <c r="F14" s="32">
        <f t="shared" si="2"/>
        <v>14456.80909090909</v>
      </c>
      <c r="G14" s="32">
        <f t="shared" si="3"/>
        <v>1445.6809090909092</v>
      </c>
      <c r="H14" s="14">
        <v>2902.5</v>
      </c>
      <c r="I14" s="14">
        <f>15500-1215</f>
        <v>14285</v>
      </c>
      <c r="J14" s="14">
        <v>1215</v>
      </c>
      <c r="K14" s="17">
        <v>955</v>
      </c>
      <c r="L14" s="17">
        <v>62.5</v>
      </c>
      <c r="M14" s="17">
        <v>200</v>
      </c>
      <c r="N14" s="33">
        <v>0</v>
      </c>
    </row>
    <row r="15" spans="1:14" x14ac:dyDescent="0.3">
      <c r="A15" s="31">
        <v>45974</v>
      </c>
      <c r="B15" s="14">
        <v>4505</v>
      </c>
      <c r="C15" s="32">
        <f t="shared" si="0"/>
        <v>4095.454545454545</v>
      </c>
      <c r="D15" s="32">
        <f t="shared" si="1"/>
        <v>409.5454545454545</v>
      </c>
      <c r="E15" s="14">
        <v>22267.5</v>
      </c>
      <c r="F15" s="32">
        <f t="shared" si="2"/>
        <v>20243.181818181816</v>
      </c>
      <c r="G15" s="32">
        <f t="shared" si="3"/>
        <v>2024.3181818181818</v>
      </c>
      <c r="H15" s="14">
        <v>4407.5</v>
      </c>
      <c r="I15" s="14">
        <f>22365-2420</f>
        <v>19945</v>
      </c>
      <c r="J15" s="14">
        <v>2420</v>
      </c>
      <c r="K15" s="17">
        <v>115</v>
      </c>
      <c r="L15" s="33">
        <v>0</v>
      </c>
      <c r="M15" s="17">
        <v>425</v>
      </c>
      <c r="N15" s="33">
        <v>0</v>
      </c>
    </row>
    <row r="16" spans="1:14" x14ac:dyDescent="0.3">
      <c r="A16" s="31">
        <v>45975</v>
      </c>
      <c r="B16" s="14">
        <v>4785</v>
      </c>
      <c r="C16" s="32">
        <f t="shared" si="0"/>
        <v>4350</v>
      </c>
      <c r="D16" s="32">
        <f t="shared" si="1"/>
        <v>435</v>
      </c>
      <c r="E16" s="14">
        <v>20347.5</v>
      </c>
      <c r="F16" s="32">
        <f t="shared" si="2"/>
        <v>18497.727272727272</v>
      </c>
      <c r="G16" s="32">
        <f t="shared" si="3"/>
        <v>1849.7727272727273</v>
      </c>
      <c r="H16" s="14">
        <v>4657.5</v>
      </c>
      <c r="I16" s="14">
        <f>20475-585</f>
        <v>19890</v>
      </c>
      <c r="J16" s="14">
        <v>585</v>
      </c>
      <c r="K16" s="33">
        <v>0</v>
      </c>
      <c r="L16" s="33">
        <v>0</v>
      </c>
      <c r="M16" s="17">
        <v>990</v>
      </c>
      <c r="N16" s="33">
        <v>0</v>
      </c>
    </row>
    <row r="17" spans="1:14" ht="15" customHeight="1" x14ac:dyDescent="0.3">
      <c r="A17" s="31">
        <v>45976</v>
      </c>
      <c r="B17" s="14">
        <v>1210</v>
      </c>
      <c r="C17" s="32">
        <f t="shared" si="0"/>
        <v>1100</v>
      </c>
      <c r="D17" s="32">
        <f t="shared" si="1"/>
        <v>110</v>
      </c>
      <c r="E17" s="14">
        <v>12590</v>
      </c>
      <c r="F17" s="32">
        <f t="shared" si="2"/>
        <v>11445.454545454544</v>
      </c>
      <c r="G17" s="32">
        <f t="shared" si="3"/>
        <v>1144.5454545454545</v>
      </c>
      <c r="H17" s="14">
        <v>1830</v>
      </c>
      <c r="I17" s="14">
        <f>11970-145</f>
        <v>11825</v>
      </c>
      <c r="J17" s="14">
        <v>145</v>
      </c>
      <c r="K17" s="17">
        <v>70</v>
      </c>
      <c r="L17" s="17">
        <v>100</v>
      </c>
      <c r="M17" s="17">
        <v>670</v>
      </c>
      <c r="N17" s="33">
        <v>0</v>
      </c>
    </row>
    <row r="18" spans="1:14" x14ac:dyDescent="0.3">
      <c r="A18" s="31">
        <v>45977</v>
      </c>
      <c r="B18" s="14">
        <v>4375</v>
      </c>
      <c r="C18" s="32">
        <f t="shared" si="0"/>
        <v>3977.272727272727</v>
      </c>
      <c r="D18" s="32">
        <f t="shared" si="1"/>
        <v>397.72727272727275</v>
      </c>
      <c r="E18" s="14">
        <v>21762.5</v>
      </c>
      <c r="F18" s="32">
        <f t="shared" si="2"/>
        <v>19784.090909090908</v>
      </c>
      <c r="G18" s="32">
        <f t="shared" si="3"/>
        <v>1978.409090909091</v>
      </c>
      <c r="H18" s="14">
        <v>5000</v>
      </c>
      <c r="I18" s="14">
        <f>21137.5-1575</f>
        <v>19562.5</v>
      </c>
      <c r="J18" s="14">
        <v>1575</v>
      </c>
      <c r="K18" s="33">
        <v>0</v>
      </c>
      <c r="L18" s="17">
        <v>292.5</v>
      </c>
      <c r="M18" s="17">
        <v>130</v>
      </c>
      <c r="N18" s="33">
        <v>0</v>
      </c>
    </row>
    <row r="19" spans="1:14" x14ac:dyDescent="0.3">
      <c r="A19" s="31">
        <v>45978</v>
      </c>
      <c r="B19" s="14">
        <v>2945</v>
      </c>
      <c r="C19" s="32">
        <f t="shared" si="0"/>
        <v>2677.272727272727</v>
      </c>
      <c r="D19" s="32">
        <f t="shared" si="1"/>
        <v>267.72727272727269</v>
      </c>
      <c r="E19" s="14">
        <v>16050</v>
      </c>
      <c r="F19" s="32">
        <f t="shared" si="2"/>
        <v>14590.90909090909</v>
      </c>
      <c r="G19" s="32">
        <f t="shared" si="3"/>
        <v>1459.090909090909</v>
      </c>
      <c r="H19" s="14">
        <v>4137.5</v>
      </c>
      <c r="I19" s="14">
        <f>14857.5-260</f>
        <v>14597.5</v>
      </c>
      <c r="J19" s="14">
        <v>260</v>
      </c>
      <c r="K19" s="17">
        <v>440</v>
      </c>
      <c r="L19" s="33">
        <v>0</v>
      </c>
      <c r="M19" s="17">
        <v>205</v>
      </c>
      <c r="N19" s="33">
        <v>0</v>
      </c>
    </row>
    <row r="20" spans="1:14" x14ac:dyDescent="0.3">
      <c r="A20" s="31">
        <v>45979</v>
      </c>
      <c r="B20" s="14">
        <v>6535</v>
      </c>
      <c r="C20" s="32">
        <f t="shared" si="0"/>
        <v>5940.9090909090901</v>
      </c>
      <c r="D20" s="32">
        <f t="shared" si="1"/>
        <v>594.09090909090901</v>
      </c>
      <c r="E20" s="14">
        <v>18587.5</v>
      </c>
      <c r="F20" s="32">
        <f t="shared" si="2"/>
        <v>16897.727272727272</v>
      </c>
      <c r="G20" s="32">
        <f t="shared" si="3"/>
        <v>1689.7727272727273</v>
      </c>
      <c r="H20" s="14">
        <v>5060</v>
      </c>
      <c r="I20" s="14">
        <f>20062.5-1530</f>
        <v>18532.5</v>
      </c>
      <c r="J20" s="14">
        <v>1530</v>
      </c>
      <c r="K20" s="17">
        <v>125</v>
      </c>
      <c r="L20" s="33">
        <v>0</v>
      </c>
      <c r="M20" s="17">
        <v>1085</v>
      </c>
      <c r="N20" s="33">
        <v>0</v>
      </c>
    </row>
    <row r="21" spans="1:14" x14ac:dyDescent="0.3">
      <c r="A21" s="31">
        <v>45980</v>
      </c>
      <c r="B21" s="14">
        <v>7959.92</v>
      </c>
      <c r="C21" s="32">
        <f t="shared" si="0"/>
        <v>7236.2909090909088</v>
      </c>
      <c r="D21" s="32">
        <f t="shared" si="1"/>
        <v>723.62909090909091</v>
      </c>
      <c r="E21" s="14">
        <v>26467.58</v>
      </c>
      <c r="F21" s="32">
        <f t="shared" si="2"/>
        <v>24061.436363636363</v>
      </c>
      <c r="G21" s="32">
        <f t="shared" si="3"/>
        <v>2406.1436363636362</v>
      </c>
      <c r="H21" s="14">
        <v>9830</v>
      </c>
      <c r="I21" s="14">
        <f>24597.5-2070</f>
        <v>22527.5</v>
      </c>
      <c r="J21" s="14">
        <v>2070</v>
      </c>
      <c r="K21" s="17">
        <v>290</v>
      </c>
      <c r="L21" s="33">
        <v>0</v>
      </c>
      <c r="M21" s="17">
        <v>430</v>
      </c>
      <c r="N21" s="33">
        <v>0</v>
      </c>
    </row>
    <row r="22" spans="1:14" x14ac:dyDescent="0.3">
      <c r="A22" s="31">
        <v>45981</v>
      </c>
      <c r="B22" s="14">
        <v>6362.5</v>
      </c>
      <c r="C22" s="32">
        <f t="shared" si="0"/>
        <v>5784.090909090909</v>
      </c>
      <c r="D22" s="32">
        <f t="shared" si="1"/>
        <v>578.40909090909088</v>
      </c>
      <c r="E22" s="14">
        <v>23890</v>
      </c>
      <c r="F22" s="32">
        <f t="shared" si="2"/>
        <v>21718.181818181816</v>
      </c>
      <c r="G22" s="32">
        <f t="shared" si="3"/>
        <v>2171.8181818181815</v>
      </c>
      <c r="H22" s="14">
        <v>7070</v>
      </c>
      <c r="I22" s="14">
        <f>23182.5-2390</f>
        <v>20792.5</v>
      </c>
      <c r="J22" s="14">
        <v>2390</v>
      </c>
      <c r="K22" s="17">
        <v>1195</v>
      </c>
      <c r="L22" s="33">
        <v>0</v>
      </c>
      <c r="M22" s="17">
        <v>2095</v>
      </c>
      <c r="N22" s="33">
        <v>0</v>
      </c>
    </row>
    <row r="23" spans="1:14" x14ac:dyDescent="0.3">
      <c r="A23" s="31">
        <v>45982</v>
      </c>
      <c r="B23" s="14">
        <v>4917.4799999999996</v>
      </c>
      <c r="C23" s="32">
        <f t="shared" si="0"/>
        <v>4470.4363636363632</v>
      </c>
      <c r="D23" s="32">
        <f t="shared" si="1"/>
        <v>447.04363636363632</v>
      </c>
      <c r="E23" s="14">
        <v>24060.02</v>
      </c>
      <c r="F23" s="32">
        <f t="shared" si="2"/>
        <v>21872.745454545453</v>
      </c>
      <c r="G23" s="32">
        <f t="shared" si="3"/>
        <v>2187.2745454545452</v>
      </c>
      <c r="H23" s="14">
        <v>9195</v>
      </c>
      <c r="I23" s="14">
        <f>19782.5-2275</f>
        <v>17507.5</v>
      </c>
      <c r="J23" s="14">
        <v>2275</v>
      </c>
      <c r="K23" s="33">
        <v>0</v>
      </c>
      <c r="L23" s="17">
        <v>162.5</v>
      </c>
      <c r="M23" s="17">
        <v>370</v>
      </c>
      <c r="N23" s="33">
        <v>0</v>
      </c>
    </row>
    <row r="24" spans="1:14" x14ac:dyDescent="0.3">
      <c r="A24" s="31">
        <v>45983</v>
      </c>
      <c r="B24" s="14">
        <v>5063.5</v>
      </c>
      <c r="C24" s="32">
        <f t="shared" si="0"/>
        <v>4603.181818181818</v>
      </c>
      <c r="D24" s="32">
        <f t="shared" si="1"/>
        <v>460.31818181818181</v>
      </c>
      <c r="E24" s="14">
        <v>25298.5</v>
      </c>
      <c r="F24" s="32">
        <f t="shared" si="2"/>
        <v>22998.63636363636</v>
      </c>
      <c r="G24" s="32">
        <f t="shared" si="3"/>
        <v>2299.863636363636</v>
      </c>
      <c r="H24" s="14">
        <v>3735</v>
      </c>
      <c r="I24" s="14">
        <f>26627-2395</f>
        <v>24232</v>
      </c>
      <c r="J24" s="14">
        <v>2395</v>
      </c>
      <c r="K24" s="17">
        <v>525</v>
      </c>
      <c r="L24" s="17">
        <v>730</v>
      </c>
      <c r="M24" s="17">
        <v>355</v>
      </c>
      <c r="N24" s="33">
        <v>0</v>
      </c>
    </row>
    <row r="25" spans="1:14" x14ac:dyDescent="0.3">
      <c r="A25" s="31">
        <v>45984</v>
      </c>
      <c r="B25" s="14">
        <v>5180</v>
      </c>
      <c r="C25" s="32">
        <f t="shared" si="0"/>
        <v>4709.090909090909</v>
      </c>
      <c r="D25" s="32">
        <f t="shared" si="1"/>
        <v>470.90909090909093</v>
      </c>
      <c r="E25" s="14">
        <v>25153</v>
      </c>
      <c r="F25" s="32">
        <f t="shared" si="2"/>
        <v>22866.363636363636</v>
      </c>
      <c r="G25" s="32">
        <f t="shared" si="3"/>
        <v>2286.6363636363635</v>
      </c>
      <c r="H25" s="14">
        <v>4740</v>
      </c>
      <c r="I25" s="14">
        <f>25593-1645</f>
        <v>23948</v>
      </c>
      <c r="J25" s="14">
        <v>1645</v>
      </c>
      <c r="K25" s="33">
        <v>0</v>
      </c>
      <c r="L25" s="17">
        <v>32.5</v>
      </c>
      <c r="M25" s="17">
        <v>365</v>
      </c>
      <c r="N25" s="33">
        <v>0</v>
      </c>
    </row>
    <row r="26" spans="1:14" x14ac:dyDescent="0.3">
      <c r="A26" s="31">
        <v>45985</v>
      </c>
      <c r="B26" s="14">
        <v>5780</v>
      </c>
      <c r="C26" s="32">
        <f t="shared" si="0"/>
        <v>5254.545454545454</v>
      </c>
      <c r="D26" s="32">
        <f t="shared" si="1"/>
        <v>525.45454545454538</v>
      </c>
      <c r="E26" s="14">
        <v>17090</v>
      </c>
      <c r="F26" s="32">
        <f t="shared" si="2"/>
        <v>15536.363636363634</v>
      </c>
      <c r="G26" s="32">
        <f t="shared" si="3"/>
        <v>1553.6363636363635</v>
      </c>
      <c r="H26" s="14">
        <v>4122.5</v>
      </c>
      <c r="I26" s="14">
        <f>18747.5-1722.5</f>
        <v>17025</v>
      </c>
      <c r="J26" s="14">
        <v>1722.5</v>
      </c>
      <c r="K26" s="17">
        <v>325</v>
      </c>
      <c r="L26" s="17">
        <v>212.5</v>
      </c>
      <c r="M26" s="17">
        <v>95</v>
      </c>
      <c r="N26" s="33">
        <v>0</v>
      </c>
    </row>
    <row r="27" spans="1:14" x14ac:dyDescent="0.3">
      <c r="A27" s="31">
        <v>45986</v>
      </c>
      <c r="B27" s="14">
        <v>8808</v>
      </c>
      <c r="C27" s="32">
        <f t="shared" si="0"/>
        <v>8007.272727272727</v>
      </c>
      <c r="D27" s="32">
        <f t="shared" si="1"/>
        <v>800.72727272727275</v>
      </c>
      <c r="E27" s="14">
        <v>20594.5</v>
      </c>
      <c r="F27" s="32">
        <f t="shared" si="2"/>
        <v>18722.272727272724</v>
      </c>
      <c r="G27" s="32">
        <f t="shared" si="3"/>
        <v>1872.2272727272725</v>
      </c>
      <c r="H27" s="14">
        <v>5290</v>
      </c>
      <c r="I27" s="14">
        <f>24112.5-1245</f>
        <v>22867.5</v>
      </c>
      <c r="J27" s="14">
        <v>1245</v>
      </c>
      <c r="K27" s="33">
        <v>0</v>
      </c>
      <c r="L27" s="17">
        <v>415</v>
      </c>
      <c r="M27" s="33">
        <v>0</v>
      </c>
      <c r="N27" s="33">
        <v>0</v>
      </c>
    </row>
    <row r="28" spans="1:14" x14ac:dyDescent="0.3">
      <c r="A28" s="31">
        <v>45987</v>
      </c>
      <c r="B28" s="14">
        <v>6186.5</v>
      </c>
      <c r="C28" s="32">
        <f t="shared" si="0"/>
        <v>5624.090909090909</v>
      </c>
      <c r="D28" s="32">
        <f t="shared" si="1"/>
        <v>562.40909090909088</v>
      </c>
      <c r="E28" s="14">
        <v>18726.5</v>
      </c>
      <c r="F28" s="32">
        <f t="shared" si="2"/>
        <v>17024.090909090908</v>
      </c>
      <c r="G28" s="32">
        <f t="shared" si="3"/>
        <v>1702.409090909091</v>
      </c>
      <c r="H28" s="14">
        <v>5307.5</v>
      </c>
      <c r="I28" s="14">
        <f>19605.5-1380</f>
        <v>18225.5</v>
      </c>
      <c r="J28" s="14">
        <v>1380</v>
      </c>
      <c r="K28" s="17">
        <v>185</v>
      </c>
      <c r="L28" s="17">
        <v>82.5</v>
      </c>
      <c r="M28" s="17">
        <v>395</v>
      </c>
      <c r="N28" s="33">
        <v>0</v>
      </c>
    </row>
    <row r="29" spans="1:14" x14ac:dyDescent="0.3">
      <c r="A29" s="31">
        <v>45988</v>
      </c>
      <c r="B29" s="14">
        <v>4811.5</v>
      </c>
      <c r="C29" s="32">
        <f t="shared" si="0"/>
        <v>4374.090909090909</v>
      </c>
      <c r="D29" s="32">
        <f t="shared" si="1"/>
        <v>437.40909090909093</v>
      </c>
      <c r="E29" s="14">
        <v>20047.5</v>
      </c>
      <c r="F29" s="32">
        <f t="shared" si="2"/>
        <v>18225</v>
      </c>
      <c r="G29" s="32">
        <f t="shared" si="3"/>
        <v>1822.5</v>
      </c>
      <c r="H29" s="14">
        <v>5277.5</v>
      </c>
      <c r="I29" s="14">
        <f>19581.5-1025</f>
        <v>18556.5</v>
      </c>
      <c r="J29" s="14">
        <v>1025</v>
      </c>
      <c r="K29" s="33">
        <v>0</v>
      </c>
      <c r="L29" s="33">
        <v>0</v>
      </c>
      <c r="M29" s="17">
        <v>360</v>
      </c>
      <c r="N29" s="33">
        <v>0</v>
      </c>
    </row>
    <row r="30" spans="1:14" x14ac:dyDescent="0.3">
      <c r="A30" s="31">
        <v>45989</v>
      </c>
      <c r="B30" s="14">
        <v>7015</v>
      </c>
      <c r="C30" s="32">
        <f t="shared" si="0"/>
        <v>6377.272727272727</v>
      </c>
      <c r="D30" s="32">
        <f t="shared" si="1"/>
        <v>637.72727272727275</v>
      </c>
      <c r="E30" s="14">
        <v>26182.5</v>
      </c>
      <c r="F30" s="32">
        <f t="shared" si="2"/>
        <v>23802.272727272724</v>
      </c>
      <c r="G30" s="32">
        <f t="shared" si="3"/>
        <v>2380.2272727272725</v>
      </c>
      <c r="H30" s="14">
        <f>4870</f>
        <v>4870</v>
      </c>
      <c r="I30" s="14">
        <f>28327.5-1065</f>
        <v>27262.5</v>
      </c>
      <c r="J30" s="14">
        <v>1065</v>
      </c>
      <c r="K30" s="33">
        <v>0</v>
      </c>
      <c r="L30" s="17">
        <v>205</v>
      </c>
      <c r="M30" s="33">
        <v>0</v>
      </c>
      <c r="N30" s="33">
        <v>0</v>
      </c>
    </row>
    <row r="31" spans="1:14" x14ac:dyDescent="0.3">
      <c r="A31" s="31">
        <v>45990</v>
      </c>
      <c r="B31" s="14">
        <v>5790</v>
      </c>
      <c r="C31" s="32">
        <f t="shared" si="0"/>
        <v>5263.6363636363631</v>
      </c>
      <c r="D31" s="32">
        <f t="shared" si="1"/>
        <v>526.36363636363637</v>
      </c>
      <c r="E31" s="14">
        <v>27079</v>
      </c>
      <c r="F31" s="32">
        <f t="shared" si="2"/>
        <v>24617.272727272724</v>
      </c>
      <c r="G31" s="32">
        <f t="shared" si="3"/>
        <v>2461.7272727272725</v>
      </c>
      <c r="H31" s="14">
        <v>5220</v>
      </c>
      <c r="I31" s="14">
        <f>27339-1585</f>
        <v>25754</v>
      </c>
      <c r="J31" s="14">
        <v>1585</v>
      </c>
      <c r="K31" s="33">
        <v>0</v>
      </c>
      <c r="L31" s="17">
        <v>432.5</v>
      </c>
      <c r="M31" s="17">
        <v>345</v>
      </c>
      <c r="N31" s="17">
        <v>310</v>
      </c>
    </row>
    <row r="32" spans="1:14" ht="13.8" customHeight="1" x14ac:dyDescent="0.3">
      <c r="A32" s="31">
        <v>45991</v>
      </c>
      <c r="B32" s="14">
        <v>2447.5</v>
      </c>
      <c r="C32" s="32">
        <f t="shared" si="0"/>
        <v>2225</v>
      </c>
      <c r="D32" s="32">
        <f t="shared" si="1"/>
        <v>222.5</v>
      </c>
      <c r="E32" s="14">
        <v>19647.5</v>
      </c>
      <c r="F32" s="32">
        <f t="shared" si="2"/>
        <v>17861.363636363636</v>
      </c>
      <c r="G32" s="32">
        <f t="shared" si="3"/>
        <v>1786.1363636363637</v>
      </c>
      <c r="H32" s="14">
        <v>5575</v>
      </c>
      <c r="I32" s="14">
        <f>16170-580</f>
        <v>15590</v>
      </c>
      <c r="J32" s="14">
        <v>580</v>
      </c>
      <c r="K32" s="33">
        <v>0</v>
      </c>
      <c r="L32" s="17">
        <v>77.5</v>
      </c>
      <c r="M32" s="17">
        <v>535</v>
      </c>
      <c r="N32" s="17">
        <v>350</v>
      </c>
    </row>
    <row r="33" spans="2:14" x14ac:dyDescent="0.3">
      <c r="B33" s="35">
        <f>SUM(B3:B32)</f>
        <v>144336.41</v>
      </c>
      <c r="C33" s="36">
        <f t="shared" si="0"/>
        <v>131214.91818181818</v>
      </c>
      <c r="D33" s="36">
        <f t="shared" ref="D33" si="4">C33*10/100</f>
        <v>13121.491818181819</v>
      </c>
      <c r="E33" s="35">
        <f>SUM(E3:E32)</f>
        <v>647797.09000000008</v>
      </c>
      <c r="F33" s="36">
        <f t="shared" si="2"/>
        <v>588906.44545454544</v>
      </c>
      <c r="G33" s="36">
        <f t="shared" ref="G33" si="5">F33*10/100</f>
        <v>58890.644545454539</v>
      </c>
      <c r="H33" s="35">
        <f t="shared" ref="H33:M33" si="6">SUM(H3:H32)</f>
        <v>158809</v>
      </c>
      <c r="I33" s="35">
        <f t="shared" si="6"/>
        <v>591604.5</v>
      </c>
      <c r="J33" s="37">
        <f t="shared" si="6"/>
        <v>40800</v>
      </c>
      <c r="K33" s="37">
        <f t="shared" si="6"/>
        <v>8875</v>
      </c>
      <c r="L33" s="37">
        <f t="shared" si="6"/>
        <v>5875</v>
      </c>
      <c r="M33" s="37">
        <f t="shared" si="6"/>
        <v>15090</v>
      </c>
      <c r="N33" s="37">
        <f>SUM(N3:N32)</f>
        <v>920</v>
      </c>
    </row>
    <row r="34" spans="2:14" x14ac:dyDescent="0.3">
      <c r="B34" s="38"/>
      <c r="C34" s="38"/>
      <c r="D34" s="38"/>
      <c r="E34" s="38"/>
      <c r="F34" s="38"/>
      <c r="G34" s="38"/>
      <c r="H34" s="38"/>
      <c r="I34" s="38"/>
      <c r="J34" s="38"/>
      <c r="K34" s="39"/>
      <c r="L34" s="39"/>
      <c r="M34" s="39"/>
      <c r="N34" s="39"/>
    </row>
    <row r="35" spans="2:14" x14ac:dyDescent="0.3">
      <c r="D35" s="38"/>
      <c r="I35" s="38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>
      <pane ySplit="1" topLeftCell="A19" activePane="bottomLeft" state="frozen"/>
      <selection pane="bottomLeft" activeCell="B35" sqref="B35"/>
    </sheetView>
  </sheetViews>
  <sheetFormatPr defaultRowHeight="14.4" x14ac:dyDescent="0.3"/>
  <cols>
    <col min="1" max="1" width="10.88671875" style="34" bestFit="1" customWidth="1"/>
    <col min="2" max="2" width="12.6640625" style="28" customWidth="1"/>
    <col min="3" max="3" width="13.88671875" style="28" customWidth="1"/>
    <col min="4" max="4" width="14.88671875" style="28" customWidth="1"/>
    <col min="5" max="5" width="11.109375" style="28" bestFit="1" customWidth="1"/>
    <col min="6" max="6" width="11" style="28" bestFit="1" customWidth="1"/>
    <col min="7" max="7" width="9.88671875" style="28" bestFit="1" customWidth="1"/>
    <col min="8" max="8" width="11.109375" style="28" bestFit="1" customWidth="1"/>
    <col min="9" max="9" width="13.6640625" style="28" bestFit="1" customWidth="1"/>
    <col min="10" max="10" width="16.33203125" style="28" bestFit="1" customWidth="1"/>
    <col min="11" max="11" width="18" style="34" bestFit="1" customWidth="1"/>
    <col min="12" max="12" width="10.5546875" style="34" bestFit="1" customWidth="1"/>
    <col min="13" max="13" width="8.88671875" style="34"/>
    <col min="14" max="15" width="16.88671875" style="34" bestFit="1" customWidth="1"/>
    <col min="16" max="16384" width="8.88671875" style="28"/>
  </cols>
  <sheetData>
    <row r="1" spans="1:15" x14ac:dyDescent="0.3">
      <c r="A1" s="24" t="s">
        <v>0</v>
      </c>
      <c r="B1" s="25" t="s">
        <v>1</v>
      </c>
      <c r="C1" s="25"/>
      <c r="D1" s="25"/>
      <c r="E1" s="24" t="s">
        <v>2</v>
      </c>
      <c r="F1" s="25"/>
      <c r="G1" s="25"/>
      <c r="H1" s="25" t="s">
        <v>3</v>
      </c>
      <c r="I1" s="25" t="s">
        <v>4</v>
      </c>
      <c r="J1" s="26" t="s">
        <v>5</v>
      </c>
      <c r="K1" s="27" t="s">
        <v>12</v>
      </c>
      <c r="L1" s="27" t="s">
        <v>13</v>
      </c>
      <c r="M1" s="27" t="s">
        <v>14</v>
      </c>
      <c r="N1" s="27" t="s">
        <v>15</v>
      </c>
      <c r="O1" s="27" t="s">
        <v>34</v>
      </c>
    </row>
    <row r="2" spans="1:15" x14ac:dyDescent="0.3">
      <c r="A2" s="29"/>
      <c r="B2" s="30">
        <v>0.1</v>
      </c>
      <c r="C2" s="30"/>
      <c r="D2" s="30"/>
      <c r="E2" s="30">
        <v>0.1</v>
      </c>
      <c r="F2" s="30"/>
      <c r="G2" s="30"/>
      <c r="H2" s="24"/>
      <c r="I2" s="24"/>
      <c r="J2" s="24"/>
      <c r="K2" s="24"/>
      <c r="L2" s="24"/>
      <c r="M2" s="24"/>
      <c r="N2" s="24"/>
      <c r="O2" s="24"/>
    </row>
    <row r="3" spans="1:15" x14ac:dyDescent="0.3">
      <c r="A3" s="31">
        <v>45992</v>
      </c>
      <c r="B3" s="14">
        <v>3087.5</v>
      </c>
      <c r="C3" s="32">
        <f t="shared" ref="C3:C34" si="0">B3/1.1</f>
        <v>2806.8181818181815</v>
      </c>
      <c r="D3" s="32">
        <f t="shared" ref="D3:D32" si="1">C3*0.1</f>
        <v>280.68181818181819</v>
      </c>
      <c r="E3" s="14">
        <v>11417.5</v>
      </c>
      <c r="F3" s="32">
        <f t="shared" ref="F3:F34" si="2">E3/1.1</f>
        <v>10379.545454545454</v>
      </c>
      <c r="G3" s="32">
        <f t="shared" ref="G3:G32" si="3">F3*0.1</f>
        <v>1037.9545454545455</v>
      </c>
      <c r="H3" s="14">
        <v>3620</v>
      </c>
      <c r="I3" s="14">
        <f>10285-752.5</f>
        <v>9532.5</v>
      </c>
      <c r="J3" s="14">
        <v>752.5</v>
      </c>
      <c r="K3" s="17">
        <v>255</v>
      </c>
      <c r="L3" s="17">
        <v>32.5</v>
      </c>
      <c r="M3" s="17">
        <v>700</v>
      </c>
      <c r="N3" s="17">
        <v>600</v>
      </c>
      <c r="O3" s="33"/>
    </row>
    <row r="4" spans="1:15" x14ac:dyDescent="0.3">
      <c r="A4" s="31">
        <v>45993</v>
      </c>
      <c r="B4" s="14">
        <v>2170</v>
      </c>
      <c r="C4" s="32">
        <f t="shared" si="0"/>
        <v>1972.7272727272725</v>
      </c>
      <c r="D4" s="32">
        <f t="shared" si="1"/>
        <v>197.27272727272725</v>
      </c>
      <c r="E4" s="14">
        <v>20492.5</v>
      </c>
      <c r="F4" s="32">
        <f t="shared" si="2"/>
        <v>18629.545454545452</v>
      </c>
      <c r="G4" s="32">
        <f t="shared" si="3"/>
        <v>1862.9545454545453</v>
      </c>
      <c r="H4" s="14">
        <v>4900</v>
      </c>
      <c r="I4" s="14">
        <f>17762.5-255</f>
        <v>17507.5</v>
      </c>
      <c r="J4" s="14">
        <v>255</v>
      </c>
      <c r="K4" s="17">
        <v>1015</v>
      </c>
      <c r="L4" s="17">
        <v>558.75</v>
      </c>
      <c r="M4" s="17">
        <v>280</v>
      </c>
      <c r="N4" s="33">
        <v>0</v>
      </c>
      <c r="O4" s="33"/>
    </row>
    <row r="5" spans="1:15" x14ac:dyDescent="0.3">
      <c r="A5" s="31">
        <v>45994</v>
      </c>
      <c r="B5" s="14">
        <v>4102.5</v>
      </c>
      <c r="C5" s="32">
        <f t="shared" si="0"/>
        <v>3729.545454545454</v>
      </c>
      <c r="D5" s="32">
        <f t="shared" si="1"/>
        <v>372.95454545454544</v>
      </c>
      <c r="E5" s="14">
        <v>19770</v>
      </c>
      <c r="F5" s="32">
        <f t="shared" si="2"/>
        <v>17972.727272727272</v>
      </c>
      <c r="G5" s="32">
        <f t="shared" si="3"/>
        <v>1797.2727272727273</v>
      </c>
      <c r="H5" s="14">
        <v>6247.5</v>
      </c>
      <c r="I5" s="14">
        <f>17625-345</f>
        <v>17280</v>
      </c>
      <c r="J5" s="14">
        <v>345</v>
      </c>
      <c r="K5" s="17">
        <v>190</v>
      </c>
      <c r="L5" s="17">
        <v>452.5</v>
      </c>
      <c r="M5" s="17">
        <v>405</v>
      </c>
      <c r="N5" s="33">
        <v>0</v>
      </c>
      <c r="O5" s="33"/>
    </row>
    <row r="6" spans="1:15" x14ac:dyDescent="0.3">
      <c r="A6" s="31">
        <v>45995</v>
      </c>
      <c r="B6" s="14">
        <v>3530</v>
      </c>
      <c r="C6" s="32">
        <f t="shared" si="0"/>
        <v>3209.090909090909</v>
      </c>
      <c r="D6" s="32">
        <f t="shared" si="1"/>
        <v>320.90909090909093</v>
      </c>
      <c r="E6" s="14">
        <v>20410</v>
      </c>
      <c r="F6" s="32">
        <f t="shared" si="2"/>
        <v>18554.545454545452</v>
      </c>
      <c r="G6" s="32">
        <f t="shared" si="3"/>
        <v>1855.4545454545453</v>
      </c>
      <c r="H6" s="14">
        <v>3365</v>
      </c>
      <c r="I6" s="14">
        <f>20575-1425</f>
        <v>19150</v>
      </c>
      <c r="J6" s="14">
        <v>1425</v>
      </c>
      <c r="K6" s="17">
        <v>210</v>
      </c>
      <c r="L6" s="17">
        <v>310</v>
      </c>
      <c r="M6" s="17">
        <v>625</v>
      </c>
      <c r="N6" s="33">
        <v>0</v>
      </c>
      <c r="O6" s="33"/>
    </row>
    <row r="7" spans="1:15" x14ac:dyDescent="0.3">
      <c r="A7" s="31">
        <v>45996</v>
      </c>
      <c r="B7" s="14">
        <v>6133.75</v>
      </c>
      <c r="C7" s="32">
        <f t="shared" si="0"/>
        <v>5576.1363636363631</v>
      </c>
      <c r="D7" s="32">
        <f t="shared" si="1"/>
        <v>557.61363636363637</v>
      </c>
      <c r="E7" s="14">
        <v>21875.5</v>
      </c>
      <c r="F7" s="32">
        <f t="shared" si="2"/>
        <v>19886.81818181818</v>
      </c>
      <c r="G7" s="32">
        <f t="shared" si="3"/>
        <v>1988.681818181818</v>
      </c>
      <c r="H7" s="14">
        <v>4800</v>
      </c>
      <c r="I7" s="14">
        <f>22974.25-2151.25</f>
        <v>20823</v>
      </c>
      <c r="J7" s="14">
        <v>2151.25</v>
      </c>
      <c r="K7" s="17">
        <v>190</v>
      </c>
      <c r="L7" s="17">
        <v>120</v>
      </c>
      <c r="M7" s="17">
        <v>675</v>
      </c>
      <c r="N7" s="17">
        <v>235</v>
      </c>
      <c r="O7" s="33"/>
    </row>
    <row r="8" spans="1:15" x14ac:dyDescent="0.3">
      <c r="A8" s="31">
        <v>45997</v>
      </c>
      <c r="B8" s="14">
        <v>6785</v>
      </c>
      <c r="C8" s="32">
        <f t="shared" si="0"/>
        <v>6168.181818181818</v>
      </c>
      <c r="D8" s="32">
        <f t="shared" si="1"/>
        <v>616.81818181818187</v>
      </c>
      <c r="E8" s="14">
        <v>28310</v>
      </c>
      <c r="F8" s="32">
        <f t="shared" si="2"/>
        <v>25736.363636363636</v>
      </c>
      <c r="G8" s="32">
        <f t="shared" si="3"/>
        <v>2573.636363636364</v>
      </c>
      <c r="H8" s="14">
        <v>8495</v>
      </c>
      <c r="I8" s="14">
        <f>25945-2087.5</f>
        <v>23857.5</v>
      </c>
      <c r="J8" s="14">
        <v>2087.5</v>
      </c>
      <c r="K8" s="17">
        <v>100</v>
      </c>
      <c r="L8" s="17">
        <v>212.5</v>
      </c>
      <c r="M8" s="17">
        <v>285</v>
      </c>
      <c r="N8" s="17">
        <v>655</v>
      </c>
      <c r="O8" s="33"/>
    </row>
    <row r="9" spans="1:15" x14ac:dyDescent="0.3">
      <c r="A9" s="31">
        <v>45998</v>
      </c>
      <c r="B9" s="14">
        <v>5830</v>
      </c>
      <c r="C9" s="32">
        <f t="shared" si="0"/>
        <v>5300</v>
      </c>
      <c r="D9" s="32">
        <f t="shared" si="1"/>
        <v>530</v>
      </c>
      <c r="E9" s="14">
        <v>19687.5</v>
      </c>
      <c r="F9" s="32">
        <f t="shared" si="2"/>
        <v>17897.727272727272</v>
      </c>
      <c r="G9" s="32">
        <f t="shared" si="3"/>
        <v>1789.7727272727273</v>
      </c>
      <c r="H9" s="14">
        <v>3577.5</v>
      </c>
      <c r="I9" s="14">
        <f>21940-1330</f>
        <v>20610</v>
      </c>
      <c r="J9" s="14">
        <v>1330</v>
      </c>
      <c r="K9" s="17">
        <v>1210</v>
      </c>
      <c r="L9" s="17">
        <v>585</v>
      </c>
      <c r="M9" s="17">
        <v>780</v>
      </c>
      <c r="N9" s="33">
        <v>0</v>
      </c>
      <c r="O9" s="33"/>
    </row>
    <row r="10" spans="1:15" x14ac:dyDescent="0.3">
      <c r="A10" s="31">
        <v>45999</v>
      </c>
      <c r="B10" s="14">
        <v>1792.5</v>
      </c>
      <c r="C10" s="32">
        <f t="shared" si="0"/>
        <v>1629.5454545454545</v>
      </c>
      <c r="D10" s="32">
        <f t="shared" si="1"/>
        <v>162.95454545454547</v>
      </c>
      <c r="E10" s="14">
        <v>14715</v>
      </c>
      <c r="F10" s="32">
        <f t="shared" si="2"/>
        <v>13377.272727272726</v>
      </c>
      <c r="G10" s="32">
        <f t="shared" si="3"/>
        <v>1337.7272727272727</v>
      </c>
      <c r="H10" s="14">
        <v>2945</v>
      </c>
      <c r="I10" s="14">
        <f>13562.5-1755</f>
        <v>11807.5</v>
      </c>
      <c r="J10" s="14">
        <v>1755</v>
      </c>
      <c r="K10" s="33">
        <v>0</v>
      </c>
      <c r="L10" s="17">
        <v>100</v>
      </c>
      <c r="M10" s="33">
        <v>0</v>
      </c>
      <c r="N10" s="33">
        <v>0</v>
      </c>
      <c r="O10" s="33"/>
    </row>
    <row r="11" spans="1:15" x14ac:dyDescent="0.3">
      <c r="A11" s="31">
        <v>46000</v>
      </c>
      <c r="B11" s="14">
        <v>4982.5</v>
      </c>
      <c r="C11" s="32">
        <f t="shared" si="0"/>
        <v>4529.545454545454</v>
      </c>
      <c r="D11" s="32">
        <f t="shared" si="1"/>
        <v>452.95454545454544</v>
      </c>
      <c r="E11" s="14">
        <v>19332.5</v>
      </c>
      <c r="F11" s="32">
        <f t="shared" si="2"/>
        <v>17575</v>
      </c>
      <c r="G11" s="32">
        <f t="shared" si="3"/>
        <v>1757.5</v>
      </c>
      <c r="H11" s="14">
        <v>4497.5</v>
      </c>
      <c r="I11" s="14">
        <f>18907.5-1760</f>
        <v>17147.5</v>
      </c>
      <c r="J11" s="14">
        <v>1760</v>
      </c>
      <c r="K11" s="17">
        <v>285</v>
      </c>
      <c r="L11" s="17">
        <v>215</v>
      </c>
      <c r="M11" s="33">
        <v>0</v>
      </c>
      <c r="N11" s="17">
        <v>910</v>
      </c>
      <c r="O11" s="33"/>
    </row>
    <row r="12" spans="1:15" x14ac:dyDescent="0.3">
      <c r="A12" s="31">
        <v>46001</v>
      </c>
      <c r="B12" s="14">
        <v>6245</v>
      </c>
      <c r="C12" s="32">
        <f t="shared" si="0"/>
        <v>5677.272727272727</v>
      </c>
      <c r="D12" s="32">
        <f t="shared" si="1"/>
        <v>567.72727272727275</v>
      </c>
      <c r="E12" s="14">
        <v>25153</v>
      </c>
      <c r="F12" s="32">
        <f t="shared" si="2"/>
        <v>22866.363636363636</v>
      </c>
      <c r="G12" s="32">
        <f t="shared" si="3"/>
        <v>2286.6363636363635</v>
      </c>
      <c r="H12" s="14">
        <v>4937.5</v>
      </c>
      <c r="I12" s="14">
        <f>26460.5-2475</f>
        <v>23985.5</v>
      </c>
      <c r="J12" s="14">
        <v>2475</v>
      </c>
      <c r="K12" s="17">
        <v>430</v>
      </c>
      <c r="L12" s="17">
        <v>257.5</v>
      </c>
      <c r="M12" s="17">
        <v>780</v>
      </c>
      <c r="N12" s="33">
        <v>0</v>
      </c>
      <c r="O12" s="33"/>
    </row>
    <row r="13" spans="1:15" x14ac:dyDescent="0.3">
      <c r="A13" s="31">
        <v>46002</v>
      </c>
      <c r="B13" s="14">
        <v>5540</v>
      </c>
      <c r="C13" s="32">
        <f t="shared" si="0"/>
        <v>5036.363636363636</v>
      </c>
      <c r="D13" s="32">
        <f t="shared" si="1"/>
        <v>503.63636363636363</v>
      </c>
      <c r="E13" s="14">
        <v>21430</v>
      </c>
      <c r="F13" s="32">
        <f t="shared" si="2"/>
        <v>19481.81818181818</v>
      </c>
      <c r="G13" s="32">
        <f t="shared" si="3"/>
        <v>1948.181818181818</v>
      </c>
      <c r="H13" s="14">
        <v>3830</v>
      </c>
      <c r="I13" s="14">
        <f>23140-2155</f>
        <v>20985</v>
      </c>
      <c r="J13" s="14">
        <v>2155</v>
      </c>
      <c r="K13" s="33">
        <v>0</v>
      </c>
      <c r="L13" s="33">
        <v>0</v>
      </c>
      <c r="M13" s="17">
        <v>1250</v>
      </c>
      <c r="N13" s="33">
        <v>0</v>
      </c>
      <c r="O13" s="33"/>
    </row>
    <row r="14" spans="1:15" x14ac:dyDescent="0.3">
      <c r="A14" s="31">
        <v>46003</v>
      </c>
      <c r="B14" s="14">
        <v>2445</v>
      </c>
      <c r="C14" s="32">
        <f t="shared" si="0"/>
        <v>2222.7272727272725</v>
      </c>
      <c r="D14" s="32">
        <f t="shared" si="1"/>
        <v>222.27272727272725</v>
      </c>
      <c r="E14" s="14">
        <v>17116</v>
      </c>
      <c r="F14" s="32">
        <f t="shared" si="2"/>
        <v>15559.999999999998</v>
      </c>
      <c r="G14" s="32">
        <f t="shared" si="3"/>
        <v>1556</v>
      </c>
      <c r="H14" s="14">
        <v>3257.5</v>
      </c>
      <c r="I14" s="14">
        <f>16303.5-1865</f>
        <v>14438.5</v>
      </c>
      <c r="J14" s="14">
        <v>1865</v>
      </c>
      <c r="K14" s="17">
        <v>375</v>
      </c>
      <c r="L14" s="17">
        <v>720</v>
      </c>
      <c r="M14" s="17">
        <v>280</v>
      </c>
      <c r="N14" s="33">
        <v>0</v>
      </c>
      <c r="O14" s="33"/>
    </row>
    <row r="15" spans="1:15" x14ac:dyDescent="0.3">
      <c r="A15" s="31">
        <v>46004</v>
      </c>
      <c r="B15" s="14">
        <v>6440</v>
      </c>
      <c r="C15" s="32">
        <f t="shared" si="0"/>
        <v>5854.545454545454</v>
      </c>
      <c r="D15" s="32">
        <f t="shared" si="1"/>
        <v>585.45454545454538</v>
      </c>
      <c r="E15" s="14">
        <v>28102.5</v>
      </c>
      <c r="F15" s="32">
        <f t="shared" si="2"/>
        <v>25547.727272727272</v>
      </c>
      <c r="G15" s="32">
        <f t="shared" si="3"/>
        <v>2554.7727272727275</v>
      </c>
      <c r="H15" s="14">
        <v>5870.5</v>
      </c>
      <c r="I15" s="14">
        <f>28672-1020</f>
        <v>27652</v>
      </c>
      <c r="J15" s="14">
        <v>1020</v>
      </c>
      <c r="K15" s="17">
        <v>100</v>
      </c>
      <c r="L15" s="17">
        <v>390</v>
      </c>
      <c r="M15" s="17">
        <v>1305</v>
      </c>
      <c r="N15" s="33"/>
      <c r="O15" s="33"/>
    </row>
    <row r="16" spans="1:15" x14ac:dyDescent="0.3">
      <c r="A16" s="31">
        <v>46005</v>
      </c>
      <c r="B16" s="40">
        <v>3735</v>
      </c>
      <c r="C16" s="32">
        <f t="shared" si="0"/>
        <v>3395.454545454545</v>
      </c>
      <c r="D16" s="32">
        <f t="shared" si="1"/>
        <v>339.5454545454545</v>
      </c>
      <c r="E16" s="40">
        <v>24198.5</v>
      </c>
      <c r="F16" s="32">
        <f t="shared" si="2"/>
        <v>21998.63636363636</v>
      </c>
      <c r="G16" s="32">
        <f t="shared" si="3"/>
        <v>2199.863636363636</v>
      </c>
      <c r="H16" s="14">
        <v>3775</v>
      </c>
      <c r="I16" s="14">
        <f>24158.5-770</f>
        <v>23388.5</v>
      </c>
      <c r="J16" s="14">
        <v>770</v>
      </c>
      <c r="K16" s="33">
        <v>0</v>
      </c>
      <c r="L16" s="33">
        <v>0</v>
      </c>
      <c r="M16" s="17">
        <v>975</v>
      </c>
      <c r="N16" s="33">
        <v>0</v>
      </c>
      <c r="O16" s="33"/>
    </row>
    <row r="17" spans="1:15" ht="15" customHeight="1" x14ac:dyDescent="0.3">
      <c r="A17" s="31">
        <v>46006</v>
      </c>
      <c r="B17" s="14">
        <v>3030</v>
      </c>
      <c r="C17" s="32">
        <f t="shared" si="0"/>
        <v>2754.5454545454545</v>
      </c>
      <c r="D17" s="32">
        <f t="shared" si="1"/>
        <v>275.45454545454544</v>
      </c>
      <c r="E17" s="14">
        <v>15827.5</v>
      </c>
      <c r="F17" s="32">
        <f t="shared" si="2"/>
        <v>14388.636363636362</v>
      </c>
      <c r="G17" s="32">
        <f t="shared" si="3"/>
        <v>1438.8636363636363</v>
      </c>
      <c r="H17" s="14">
        <v>3992.5</v>
      </c>
      <c r="I17" s="14">
        <f>14595-1075</f>
        <v>13520</v>
      </c>
      <c r="J17" s="14">
        <v>1075</v>
      </c>
      <c r="K17" s="17">
        <v>210</v>
      </c>
      <c r="L17" s="33">
        <v>0</v>
      </c>
      <c r="M17" s="17">
        <v>1025</v>
      </c>
      <c r="N17" s="17">
        <v>270</v>
      </c>
      <c r="O17" s="33"/>
    </row>
    <row r="18" spans="1:15" x14ac:dyDescent="0.3">
      <c r="A18" s="31">
        <v>46007</v>
      </c>
      <c r="B18" s="14">
        <v>6320.01</v>
      </c>
      <c r="C18" s="32">
        <f t="shared" si="0"/>
        <v>5745.4636363636364</v>
      </c>
      <c r="D18" s="32">
        <f t="shared" si="1"/>
        <v>574.54636363636371</v>
      </c>
      <c r="E18" s="14">
        <v>22827.49</v>
      </c>
      <c r="F18" s="32">
        <f t="shared" si="2"/>
        <v>20752.263636363637</v>
      </c>
      <c r="G18" s="32">
        <f t="shared" si="3"/>
        <v>2075.2263636363637</v>
      </c>
      <c r="H18" s="14">
        <v>3007.5</v>
      </c>
      <c r="I18" s="14">
        <f>26140-1275</f>
        <v>24865</v>
      </c>
      <c r="J18" s="14">
        <v>1275</v>
      </c>
      <c r="K18" s="17">
        <v>260</v>
      </c>
      <c r="L18" s="17">
        <v>155</v>
      </c>
      <c r="M18" s="33">
        <v>0</v>
      </c>
      <c r="N18" s="33">
        <v>0</v>
      </c>
      <c r="O18" s="33"/>
    </row>
    <row r="19" spans="1:15" x14ac:dyDescent="0.3">
      <c r="A19" s="31">
        <v>46008</v>
      </c>
      <c r="B19" s="14">
        <v>4800</v>
      </c>
      <c r="C19" s="32">
        <f t="shared" si="0"/>
        <v>4363.6363636363631</v>
      </c>
      <c r="D19" s="32">
        <f t="shared" si="1"/>
        <v>436.36363636363632</v>
      </c>
      <c r="E19" s="14">
        <v>17680</v>
      </c>
      <c r="F19" s="32">
        <f t="shared" si="2"/>
        <v>16072.727272727272</v>
      </c>
      <c r="G19" s="32">
        <f t="shared" si="3"/>
        <v>1607.2727272727273</v>
      </c>
      <c r="H19" s="14">
        <v>4942.5</v>
      </c>
      <c r="I19" s="14">
        <f>17277.5-1637.5</f>
        <v>15640</v>
      </c>
      <c r="J19" s="14">
        <v>1637.5</v>
      </c>
      <c r="K19" s="33">
        <v>0</v>
      </c>
      <c r="L19" s="17">
        <v>150</v>
      </c>
      <c r="M19" s="17">
        <v>680</v>
      </c>
      <c r="N19" s="17">
        <v>260</v>
      </c>
      <c r="O19" s="33"/>
    </row>
    <row r="20" spans="1:15" x14ac:dyDescent="0.3">
      <c r="A20" s="31">
        <v>46009</v>
      </c>
      <c r="B20" s="14">
        <v>2995</v>
      </c>
      <c r="C20" s="32">
        <f t="shared" si="0"/>
        <v>2722.7272727272725</v>
      </c>
      <c r="D20" s="32">
        <f t="shared" si="1"/>
        <v>272.27272727272725</v>
      </c>
      <c r="E20" s="14">
        <v>19832.5</v>
      </c>
      <c r="F20" s="32">
        <f t="shared" si="2"/>
        <v>18029.545454545452</v>
      </c>
      <c r="G20" s="32">
        <f t="shared" si="3"/>
        <v>1802.9545454545453</v>
      </c>
      <c r="H20" s="14">
        <v>4992.5</v>
      </c>
      <c r="I20" s="14">
        <f>17475-1682.5</f>
        <v>15792.5</v>
      </c>
      <c r="J20" s="14">
        <v>1682.5</v>
      </c>
      <c r="K20" s="17">
        <v>675</v>
      </c>
      <c r="L20" s="17">
        <v>227.5</v>
      </c>
      <c r="M20" s="33">
        <v>0</v>
      </c>
      <c r="N20" s="17">
        <v>360</v>
      </c>
      <c r="O20" s="33"/>
    </row>
    <row r="21" spans="1:15" x14ac:dyDescent="0.3">
      <c r="A21" s="31">
        <v>46010</v>
      </c>
      <c r="B21" s="14">
        <v>4049</v>
      </c>
      <c r="C21" s="32">
        <f t="shared" si="0"/>
        <v>3680.9090909090905</v>
      </c>
      <c r="D21" s="32">
        <f t="shared" si="1"/>
        <v>368.09090909090907</v>
      </c>
      <c r="E21" s="14">
        <v>23840.5</v>
      </c>
      <c r="F21" s="32">
        <f t="shared" si="2"/>
        <v>21673.181818181816</v>
      </c>
      <c r="G21" s="32">
        <f t="shared" si="3"/>
        <v>2167.3181818181815</v>
      </c>
      <c r="H21" s="14">
        <v>7017.5</v>
      </c>
      <c r="I21" s="14">
        <f>20270-1970</f>
        <v>18300</v>
      </c>
      <c r="J21" s="14">
        <v>1970</v>
      </c>
      <c r="K21" s="17">
        <v>975</v>
      </c>
      <c r="L21" s="17">
        <v>307.5</v>
      </c>
      <c r="M21" s="17">
        <v>825</v>
      </c>
      <c r="N21" s="17">
        <v>465.5</v>
      </c>
      <c r="O21" s="17">
        <v>136.5</v>
      </c>
    </row>
    <row r="22" spans="1:15" s="45" customFormat="1" x14ac:dyDescent="0.3">
      <c r="A22" s="41">
        <v>46011</v>
      </c>
      <c r="B22" s="42">
        <v>6024.99</v>
      </c>
      <c r="C22" s="42">
        <f t="shared" si="0"/>
        <v>5477.2636363636357</v>
      </c>
      <c r="D22" s="42">
        <f t="shared" si="1"/>
        <v>547.72636363636354</v>
      </c>
      <c r="E22" s="42">
        <v>27282.51</v>
      </c>
      <c r="F22" s="42">
        <f t="shared" si="2"/>
        <v>24802.281818181815</v>
      </c>
      <c r="G22" s="42">
        <f t="shared" si="3"/>
        <v>2480.2281818181818</v>
      </c>
      <c r="H22" s="42">
        <v>6797.5</v>
      </c>
      <c r="I22" s="42">
        <f>26200-1045</f>
        <v>25155</v>
      </c>
      <c r="J22" s="42">
        <v>1045</v>
      </c>
      <c r="K22" s="43">
        <v>0</v>
      </c>
      <c r="L22" s="44">
        <v>565</v>
      </c>
      <c r="M22" s="44">
        <v>190</v>
      </c>
      <c r="N22" s="43">
        <v>310</v>
      </c>
      <c r="O22" s="43"/>
    </row>
    <row r="23" spans="1:15" s="45" customFormat="1" ht="15" customHeight="1" x14ac:dyDescent="0.3">
      <c r="A23" s="41">
        <v>46012</v>
      </c>
      <c r="B23" s="42">
        <v>2703</v>
      </c>
      <c r="C23" s="42">
        <f t="shared" si="0"/>
        <v>2457.272727272727</v>
      </c>
      <c r="D23" s="42">
        <f t="shared" si="1"/>
        <v>245.72727272727272</v>
      </c>
      <c r="E23" s="42">
        <v>21435</v>
      </c>
      <c r="F23" s="42">
        <f t="shared" si="2"/>
        <v>19486.363636363636</v>
      </c>
      <c r="G23" s="42">
        <f t="shared" si="3"/>
        <v>1948.6363636363637</v>
      </c>
      <c r="H23" s="42">
        <v>3905.5</v>
      </c>
      <c r="I23" s="42">
        <f>19652.5-155</f>
        <v>19497.5</v>
      </c>
      <c r="J23" s="42">
        <v>155</v>
      </c>
      <c r="K23" s="44">
        <v>515</v>
      </c>
      <c r="L23" s="44">
        <v>375</v>
      </c>
      <c r="M23" s="44">
        <v>230</v>
      </c>
      <c r="N23" s="43">
        <f>600-310</f>
        <v>290</v>
      </c>
      <c r="O23" s="43">
        <v>290</v>
      </c>
    </row>
    <row r="24" spans="1:15" x14ac:dyDescent="0.3">
      <c r="A24" s="31">
        <v>46013</v>
      </c>
      <c r="B24" s="14">
        <v>2990</v>
      </c>
      <c r="C24" s="32">
        <f t="shared" si="0"/>
        <v>2718.181818181818</v>
      </c>
      <c r="D24" s="32">
        <f t="shared" si="1"/>
        <v>271.81818181818181</v>
      </c>
      <c r="E24" s="14">
        <v>20302.5</v>
      </c>
      <c r="F24" s="32">
        <f t="shared" si="2"/>
        <v>18456.81818181818</v>
      </c>
      <c r="G24" s="32">
        <f t="shared" si="3"/>
        <v>1845.681818181818</v>
      </c>
      <c r="H24" s="14">
        <v>4062.5</v>
      </c>
      <c r="I24" s="14">
        <f>18440-2350</f>
        <v>16090</v>
      </c>
      <c r="J24" s="14">
        <v>2350</v>
      </c>
      <c r="K24" s="17">
        <v>95</v>
      </c>
      <c r="L24" s="17">
        <v>1395</v>
      </c>
      <c r="M24" s="33">
        <v>0</v>
      </c>
      <c r="N24" s="33">
        <v>0</v>
      </c>
      <c r="O24" s="17">
        <v>790</v>
      </c>
    </row>
    <row r="25" spans="1:15" x14ac:dyDescent="0.3">
      <c r="A25" s="31">
        <v>46014</v>
      </c>
      <c r="B25" s="14">
        <v>4285.1899999999996</v>
      </c>
      <c r="C25" s="32">
        <f t="shared" si="0"/>
        <v>3895.6272727272722</v>
      </c>
      <c r="D25" s="32">
        <f t="shared" si="1"/>
        <v>389.56272727272722</v>
      </c>
      <c r="E25" s="14">
        <v>21211.81</v>
      </c>
      <c r="F25" s="32">
        <f t="shared" si="2"/>
        <v>19283.463636363635</v>
      </c>
      <c r="G25" s="32">
        <f t="shared" si="3"/>
        <v>1928.3463636363635</v>
      </c>
      <c r="H25" s="14">
        <v>5149</v>
      </c>
      <c r="I25" s="14">
        <f>20078-2710</f>
        <v>17368</v>
      </c>
      <c r="J25" s="14">
        <v>2710</v>
      </c>
      <c r="K25" s="33">
        <v>0</v>
      </c>
      <c r="L25" s="33">
        <v>0</v>
      </c>
      <c r="M25" s="17">
        <v>1020</v>
      </c>
      <c r="N25" s="33">
        <v>0</v>
      </c>
      <c r="O25" s="17">
        <v>270</v>
      </c>
    </row>
    <row r="26" spans="1:15" x14ac:dyDescent="0.3">
      <c r="A26" s="31">
        <v>46015</v>
      </c>
      <c r="B26" s="14">
        <v>3947.5</v>
      </c>
      <c r="C26" s="32">
        <f t="shared" si="0"/>
        <v>3588.6363636363635</v>
      </c>
      <c r="D26" s="32">
        <f t="shared" si="1"/>
        <v>358.86363636363637</v>
      </c>
      <c r="E26" s="14">
        <v>20905</v>
      </c>
      <c r="F26" s="32">
        <f t="shared" si="2"/>
        <v>19004.545454545452</v>
      </c>
      <c r="G26" s="32">
        <f t="shared" si="3"/>
        <v>1900.4545454545453</v>
      </c>
      <c r="H26" s="14">
        <v>3975</v>
      </c>
      <c r="I26" s="14">
        <f>20472.5-145</f>
        <v>20327.5</v>
      </c>
      <c r="J26" s="14">
        <v>145</v>
      </c>
      <c r="K26" s="33">
        <v>0</v>
      </c>
      <c r="L26" s="17">
        <v>270</v>
      </c>
      <c r="M26" s="17">
        <v>195</v>
      </c>
      <c r="N26" s="17">
        <v>405</v>
      </c>
      <c r="O26" s="33">
        <v>0</v>
      </c>
    </row>
    <row r="27" spans="1:15" x14ac:dyDescent="0.3">
      <c r="A27" s="31">
        <v>46016</v>
      </c>
      <c r="B27" s="14">
        <v>4270</v>
      </c>
      <c r="C27" s="32">
        <f t="shared" si="0"/>
        <v>3881.8181818181815</v>
      </c>
      <c r="D27" s="32">
        <f t="shared" si="1"/>
        <v>388.18181818181819</v>
      </c>
      <c r="E27" s="14">
        <v>18670</v>
      </c>
      <c r="F27" s="32">
        <f t="shared" si="2"/>
        <v>16972.727272727272</v>
      </c>
      <c r="G27" s="32">
        <f t="shared" si="3"/>
        <v>1697.2727272727273</v>
      </c>
      <c r="H27" s="14">
        <v>3907.5</v>
      </c>
      <c r="I27" s="14">
        <f>19032.5-440</f>
        <v>18592.5</v>
      </c>
      <c r="J27" s="14">
        <v>440</v>
      </c>
      <c r="K27" s="33">
        <v>0</v>
      </c>
      <c r="L27" s="17">
        <v>267.5</v>
      </c>
      <c r="M27" s="17">
        <v>315</v>
      </c>
      <c r="N27" s="33">
        <v>0</v>
      </c>
      <c r="O27" s="33">
        <v>0</v>
      </c>
    </row>
    <row r="28" spans="1:15" x14ac:dyDescent="0.3">
      <c r="A28" s="31">
        <v>46017</v>
      </c>
      <c r="B28" s="14">
        <v>18890</v>
      </c>
      <c r="C28" s="32">
        <f t="shared" si="0"/>
        <v>17172.727272727272</v>
      </c>
      <c r="D28" s="32">
        <f t="shared" si="1"/>
        <v>1717.2727272727273</v>
      </c>
      <c r="E28" s="14">
        <v>34720</v>
      </c>
      <c r="F28" s="32">
        <f t="shared" si="2"/>
        <v>31563.63636363636</v>
      </c>
      <c r="G28" s="32">
        <f t="shared" si="3"/>
        <v>3156.363636363636</v>
      </c>
      <c r="H28" s="14">
        <v>34113</v>
      </c>
      <c r="I28" s="14">
        <f>19497-900</f>
        <v>18597</v>
      </c>
      <c r="J28" s="14">
        <v>900</v>
      </c>
      <c r="K28" s="33">
        <v>0</v>
      </c>
      <c r="L28" s="17">
        <v>132.5</v>
      </c>
      <c r="M28" s="17">
        <v>430</v>
      </c>
      <c r="N28" s="33">
        <v>0</v>
      </c>
      <c r="O28" s="33">
        <v>0</v>
      </c>
    </row>
    <row r="29" spans="1:15" x14ac:dyDescent="0.3">
      <c r="A29" s="31">
        <v>46018</v>
      </c>
      <c r="B29" s="14">
        <v>4528</v>
      </c>
      <c r="C29" s="32">
        <f t="shared" si="0"/>
        <v>4116.363636363636</v>
      </c>
      <c r="D29" s="32">
        <f t="shared" si="1"/>
        <v>411.63636363636363</v>
      </c>
      <c r="E29" s="14">
        <v>16925.5</v>
      </c>
      <c r="F29" s="32">
        <f t="shared" si="2"/>
        <v>15386.81818181818</v>
      </c>
      <c r="G29" s="32">
        <f t="shared" si="3"/>
        <v>1538.681818181818</v>
      </c>
      <c r="H29" s="14">
        <v>2998.5</v>
      </c>
      <c r="I29" s="14">
        <f>18185-350</f>
        <v>17835</v>
      </c>
      <c r="J29" s="14">
        <v>350</v>
      </c>
      <c r="K29" s="17">
        <v>195</v>
      </c>
      <c r="L29" s="17">
        <v>70</v>
      </c>
      <c r="M29" s="17">
        <v>805</v>
      </c>
      <c r="N29" s="17">
        <v>270</v>
      </c>
      <c r="O29" s="33">
        <v>0</v>
      </c>
    </row>
    <row r="30" spans="1:15" x14ac:dyDescent="0.3">
      <c r="A30" s="31">
        <v>46019</v>
      </c>
      <c r="B30" s="14">
        <v>2794</v>
      </c>
      <c r="C30" s="32">
        <f t="shared" si="0"/>
        <v>2540</v>
      </c>
      <c r="D30" s="32">
        <f t="shared" si="1"/>
        <v>254</v>
      </c>
      <c r="E30" s="14">
        <v>19711</v>
      </c>
      <c r="F30" s="32">
        <f t="shared" si="2"/>
        <v>17919.090909090908</v>
      </c>
      <c r="G30" s="32">
        <f t="shared" si="3"/>
        <v>1791.909090909091</v>
      </c>
      <c r="H30" s="14">
        <v>3655</v>
      </c>
      <c r="I30" s="14">
        <f>18850-210-840</f>
        <v>17800</v>
      </c>
      <c r="J30" s="14">
        <f>210+840</f>
        <v>1050</v>
      </c>
      <c r="K30" s="33">
        <v>0</v>
      </c>
      <c r="L30" s="17">
        <v>627</v>
      </c>
      <c r="M30" s="17">
        <v>1025</v>
      </c>
      <c r="N30" s="33">
        <v>0</v>
      </c>
      <c r="O30" s="33">
        <v>0</v>
      </c>
    </row>
    <row r="31" spans="1:15" x14ac:dyDescent="0.3">
      <c r="A31" s="31">
        <v>46020</v>
      </c>
      <c r="B31" s="14">
        <v>2950</v>
      </c>
      <c r="C31" s="32">
        <f t="shared" si="0"/>
        <v>2681.8181818181815</v>
      </c>
      <c r="D31" s="32">
        <f t="shared" si="1"/>
        <v>268.18181818181819</v>
      </c>
      <c r="E31" s="14">
        <v>18569.05</v>
      </c>
      <c r="F31" s="32">
        <f t="shared" si="2"/>
        <v>16880.954545454544</v>
      </c>
      <c r="G31" s="32">
        <f t="shared" si="3"/>
        <v>1688.0954545454545</v>
      </c>
      <c r="H31" s="14">
        <v>5367.5</v>
      </c>
      <c r="I31" s="14">
        <f>15730.5-1190</f>
        <v>14540.5</v>
      </c>
      <c r="J31" s="14">
        <v>1190</v>
      </c>
      <c r="K31" s="33"/>
      <c r="L31" s="17">
        <v>217.5</v>
      </c>
      <c r="M31" s="33">
        <v>0</v>
      </c>
      <c r="N31" s="33">
        <v>0</v>
      </c>
      <c r="O31" s="17">
        <v>421.05</v>
      </c>
    </row>
    <row r="32" spans="1:15" ht="13.8" customHeight="1" x14ac:dyDescent="0.3">
      <c r="A32" s="31">
        <v>46021</v>
      </c>
      <c r="B32" s="14">
        <v>2595</v>
      </c>
      <c r="C32" s="32">
        <f t="shared" si="0"/>
        <v>2359.090909090909</v>
      </c>
      <c r="D32" s="32">
        <f t="shared" si="1"/>
        <v>235.90909090909091</v>
      </c>
      <c r="E32" s="14">
        <v>18235.8</v>
      </c>
      <c r="F32" s="32">
        <f t="shared" si="2"/>
        <v>16577.999999999996</v>
      </c>
      <c r="G32" s="32">
        <f t="shared" si="3"/>
        <v>1657.7999999999997</v>
      </c>
      <c r="H32" s="14">
        <v>3883.5</v>
      </c>
      <c r="I32" s="14">
        <f>16478-795-585</f>
        <v>15098</v>
      </c>
      <c r="J32" s="14">
        <f>795+585</f>
        <v>1380</v>
      </c>
      <c r="K32" s="17">
        <v>245</v>
      </c>
      <c r="L32" s="17">
        <v>650</v>
      </c>
      <c r="M32" s="17">
        <v>250</v>
      </c>
      <c r="N32" s="33">
        <v>0</v>
      </c>
      <c r="O32" s="17">
        <v>469.3</v>
      </c>
    </row>
    <row r="33" spans="1:15" ht="13.8" customHeight="1" x14ac:dyDescent="0.3">
      <c r="A33" s="31">
        <v>46022</v>
      </c>
      <c r="B33" s="14">
        <f>2425+230</f>
        <v>2655</v>
      </c>
      <c r="C33" s="32">
        <f t="shared" ref="C33" si="4">B33/1.1</f>
        <v>2413.6363636363635</v>
      </c>
      <c r="D33" s="32">
        <f t="shared" ref="D33" si="5">C33*0.1</f>
        <v>241.36363636363637</v>
      </c>
      <c r="E33" s="14">
        <v>13437</v>
      </c>
      <c r="F33" s="32">
        <f t="shared" ref="F33" si="6">E33/1.1</f>
        <v>12215.454545454544</v>
      </c>
      <c r="G33" s="32">
        <f t="shared" ref="G33" si="7">F33*0.1</f>
        <v>1221.5454545454545</v>
      </c>
      <c r="H33" s="14">
        <f>2650</f>
        <v>2650</v>
      </c>
      <c r="I33" s="14">
        <f>9771-100-805+230</f>
        <v>9096</v>
      </c>
      <c r="J33" s="14">
        <f>100+805</f>
        <v>905</v>
      </c>
      <c r="K33" s="17">
        <v>95</v>
      </c>
      <c r="L33" s="17">
        <v>3117.5</v>
      </c>
      <c r="M33" s="33">
        <v>0</v>
      </c>
      <c r="N33" s="17">
        <v>260</v>
      </c>
      <c r="O33" s="17">
        <v>3181</v>
      </c>
    </row>
    <row r="34" spans="1:15" x14ac:dyDescent="0.3">
      <c r="B34" s="35">
        <f>SUM(B3:B33)</f>
        <v>142645.44</v>
      </c>
      <c r="C34" s="36">
        <f t="shared" si="0"/>
        <v>129677.67272727271</v>
      </c>
      <c r="D34" s="36">
        <f t="shared" ref="D34" si="8">C34*10/100</f>
        <v>12967.767272727271</v>
      </c>
      <c r="E34" s="35">
        <f>SUM(E3:E33)</f>
        <v>643423.66000000015</v>
      </c>
      <c r="F34" s="36">
        <f t="shared" si="2"/>
        <v>584930.60000000009</v>
      </c>
      <c r="G34" s="36">
        <f t="shared" ref="G34" si="9">F34*10/100</f>
        <v>58493.060000000012</v>
      </c>
      <c r="H34" s="35">
        <f t="shared" ref="H34:N34" si="10">SUM(H3:H33)</f>
        <v>168535</v>
      </c>
      <c r="I34" s="35">
        <f t="shared" si="10"/>
        <v>566279.5</v>
      </c>
      <c r="J34" s="37">
        <f t="shared" si="10"/>
        <v>40406.25</v>
      </c>
      <c r="K34" s="37">
        <f t="shared" si="10"/>
        <v>7625</v>
      </c>
      <c r="L34" s="37">
        <f t="shared" si="10"/>
        <v>12480.75</v>
      </c>
      <c r="M34" s="37">
        <f t="shared" si="10"/>
        <v>15330</v>
      </c>
      <c r="N34" s="37">
        <f t="shared" si="10"/>
        <v>5290.5</v>
      </c>
      <c r="O34" s="37">
        <f>SUM(O3:O33)</f>
        <v>5557.85</v>
      </c>
    </row>
    <row r="35" spans="1:15" x14ac:dyDescent="0.3">
      <c r="B35" s="38"/>
      <c r="C35" s="38"/>
      <c r="D35" s="38"/>
      <c r="E35" s="38"/>
      <c r="F35" s="38"/>
      <c r="G35" s="38"/>
      <c r="H35" s="38"/>
      <c r="I35" s="38"/>
      <c r="J35" s="38"/>
      <c r="K35" s="39"/>
      <c r="L35" s="39"/>
      <c r="M35" s="39"/>
      <c r="N35" s="39"/>
      <c r="O35" s="39"/>
    </row>
    <row r="36" spans="1:15" x14ac:dyDescent="0.3">
      <c r="D36" s="38"/>
      <c r="I36" s="38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workbookViewId="0">
      <selection activeCell="L14" sqref="L14"/>
    </sheetView>
  </sheetViews>
  <sheetFormatPr defaultRowHeight="14.4" x14ac:dyDescent="0.3"/>
  <cols>
    <col min="1" max="1" width="6.109375" customWidth="1"/>
    <col min="2" max="2" width="10.109375" bestFit="1" customWidth="1"/>
    <col min="3" max="3" width="10" bestFit="1" customWidth="1"/>
    <col min="4" max="4" width="9" bestFit="1" customWidth="1"/>
    <col min="5" max="5" width="10.109375" bestFit="1" customWidth="1"/>
    <col min="6" max="6" width="10" bestFit="1" customWidth="1"/>
    <col min="7" max="7" width="9" bestFit="1" customWidth="1"/>
    <col min="8" max="9" width="10.109375" bestFit="1" customWidth="1"/>
    <col min="10" max="10" width="10.21875" bestFit="1" customWidth="1"/>
    <col min="11" max="11" width="9.88671875" bestFit="1" customWidth="1"/>
    <col min="12" max="12" width="10.5546875" bestFit="1" customWidth="1"/>
    <col min="13" max="13" width="6.77734375" bestFit="1" customWidth="1"/>
    <col min="14" max="14" width="16.88671875" bestFit="1" customWidth="1"/>
    <col min="15" max="15" width="14.109375" bestFit="1" customWidth="1"/>
  </cols>
  <sheetData>
    <row r="1" spans="1:15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  <c r="O1" s="46" t="s">
        <v>35</v>
      </c>
    </row>
    <row r="2" spans="1:15" x14ac:dyDescent="0.3">
      <c r="A2" s="4"/>
      <c r="B2" s="6">
        <v>85340.12</v>
      </c>
      <c r="C2" s="8">
        <v>77581.927272727262</v>
      </c>
      <c r="D2" s="8">
        <v>7758.1927272727262</v>
      </c>
      <c r="E2" s="6">
        <v>239242.12999999995</v>
      </c>
      <c r="F2" s="8">
        <v>217492.8454545454</v>
      </c>
      <c r="G2" s="8">
        <v>21749.284545454542</v>
      </c>
      <c r="H2" s="6">
        <v>56799.5</v>
      </c>
      <c r="I2" s="6">
        <v>261278.74999999997</v>
      </c>
      <c r="J2" s="6">
        <v>6504</v>
      </c>
      <c r="K2" s="4"/>
    </row>
    <row r="3" spans="1:15" x14ac:dyDescent="0.3">
      <c r="A3" s="4"/>
      <c r="B3" s="6">
        <v>85534.099999999991</v>
      </c>
      <c r="C3" s="8">
        <v>77758.272727272706</v>
      </c>
      <c r="D3" s="8">
        <v>7775.8272727272706</v>
      </c>
      <c r="E3" s="6">
        <v>247038.7</v>
      </c>
      <c r="F3" s="8">
        <v>224580.63636363635</v>
      </c>
      <c r="G3" s="8">
        <v>22458.063636363633</v>
      </c>
      <c r="H3" s="6">
        <v>62882.5</v>
      </c>
      <c r="I3" s="6">
        <v>264710.8</v>
      </c>
      <c r="J3" s="6">
        <v>4979.5</v>
      </c>
      <c r="K3" s="4">
        <v>1544</v>
      </c>
      <c r="L3">
        <v>1122.5</v>
      </c>
      <c r="M3">
        <v>865</v>
      </c>
      <c r="N3">
        <v>1900</v>
      </c>
    </row>
    <row r="4" spans="1:15" x14ac:dyDescent="0.3">
      <c r="A4" s="4"/>
      <c r="B4" s="6">
        <v>89455.930000000008</v>
      </c>
      <c r="C4" s="8">
        <v>81323.572727272724</v>
      </c>
      <c r="D4" s="8">
        <v>8132.3572727272731</v>
      </c>
      <c r="E4" s="6">
        <v>416993.57</v>
      </c>
      <c r="F4" s="8">
        <v>379085.0636363636</v>
      </c>
      <c r="G4" s="8">
        <v>37908.506363636356</v>
      </c>
      <c r="H4" s="6">
        <v>100352</v>
      </c>
      <c r="I4" s="6">
        <v>400583.5</v>
      </c>
      <c r="J4" s="6">
        <v>5514</v>
      </c>
      <c r="K4" s="4">
        <v>2394</v>
      </c>
      <c r="L4">
        <v>3635</v>
      </c>
      <c r="M4">
        <v>3944</v>
      </c>
      <c r="N4">
        <v>6915</v>
      </c>
    </row>
    <row r="5" spans="1:15" x14ac:dyDescent="0.3">
      <c r="A5" s="4"/>
      <c r="B5" s="6">
        <v>114690.55</v>
      </c>
      <c r="C5" s="8">
        <v>104264.13636363635</v>
      </c>
      <c r="D5" s="8">
        <v>10426.413636363635</v>
      </c>
      <c r="E5" s="6">
        <v>571554.44999999995</v>
      </c>
      <c r="F5" s="8">
        <v>519594.95454545447</v>
      </c>
      <c r="G5" s="8">
        <v>51959.495454545453</v>
      </c>
      <c r="H5" s="6">
        <v>118049</v>
      </c>
      <c r="I5" s="6">
        <v>550593.5</v>
      </c>
      <c r="J5" s="6">
        <v>13507.5</v>
      </c>
      <c r="K5" s="4">
        <v>4125</v>
      </c>
      <c r="L5">
        <v>3272.5</v>
      </c>
      <c r="M5">
        <v>3645</v>
      </c>
      <c r="N5">
        <v>5980</v>
      </c>
    </row>
    <row r="6" spans="1:15" x14ac:dyDescent="0.3">
      <c r="A6" s="4"/>
      <c r="B6" s="6">
        <v>124406.06</v>
      </c>
      <c r="C6" s="8">
        <v>113096.41818181817</v>
      </c>
      <c r="D6" s="8">
        <v>11309.641818181817</v>
      </c>
      <c r="E6" s="6">
        <v>650334.94999999995</v>
      </c>
      <c r="F6" s="8">
        <v>591213.59090909082</v>
      </c>
      <c r="G6" s="8">
        <v>59121.359090909085</v>
      </c>
      <c r="H6" s="6">
        <v>147996.5</v>
      </c>
      <c r="I6" s="6">
        <v>600684.51</v>
      </c>
      <c r="J6" s="6">
        <v>19505</v>
      </c>
      <c r="K6" s="4">
        <v>2315</v>
      </c>
      <c r="L6">
        <v>4142.5</v>
      </c>
      <c r="M6">
        <v>6015</v>
      </c>
      <c r="N6">
        <v>6555</v>
      </c>
    </row>
    <row r="7" spans="1:15" x14ac:dyDescent="0.3">
      <c r="A7" s="4"/>
      <c r="B7" s="6">
        <v>120344.93</v>
      </c>
      <c r="C7" s="8">
        <v>109404.4818181818</v>
      </c>
      <c r="D7" s="8">
        <v>10940.448181818179</v>
      </c>
      <c r="E7" s="6">
        <v>659313.57000000007</v>
      </c>
      <c r="F7" s="8">
        <v>599375.97272727278</v>
      </c>
      <c r="G7" s="8">
        <v>59937.597272727275</v>
      </c>
      <c r="H7" s="6">
        <v>150335.5</v>
      </c>
      <c r="I7" s="6">
        <v>596160.5</v>
      </c>
      <c r="J7" s="6">
        <v>23487.5</v>
      </c>
      <c r="K7" s="4">
        <v>2400</v>
      </c>
      <c r="L7">
        <v>4177.5</v>
      </c>
      <c r="M7">
        <v>8378</v>
      </c>
      <c r="N7">
        <v>9675</v>
      </c>
    </row>
    <row r="8" spans="1:15" x14ac:dyDescent="0.3">
      <c r="A8" s="4"/>
      <c r="B8" s="6">
        <v>136349.66999999998</v>
      </c>
      <c r="C8" s="8">
        <v>123954.24545454542</v>
      </c>
      <c r="D8" s="8">
        <v>12395.424545454542</v>
      </c>
      <c r="E8" s="6">
        <v>752750.33000000007</v>
      </c>
      <c r="F8" s="8">
        <v>684318.48181818181</v>
      </c>
      <c r="G8" s="8">
        <v>68431.84818181819</v>
      </c>
      <c r="H8" s="6">
        <v>170687</v>
      </c>
      <c r="I8" s="6">
        <v>639610.5</v>
      </c>
      <c r="J8" s="6">
        <v>40422.5</v>
      </c>
      <c r="K8" s="4">
        <v>3260</v>
      </c>
      <c r="L8">
        <v>2105</v>
      </c>
      <c r="M8">
        <v>9484</v>
      </c>
      <c r="N8">
        <v>15020</v>
      </c>
    </row>
    <row r="9" spans="1:15" x14ac:dyDescent="0.3">
      <c r="A9" s="4"/>
      <c r="B9" s="6">
        <v>128918.26000000001</v>
      </c>
      <c r="C9" s="8">
        <v>117198.41818181818</v>
      </c>
      <c r="D9" s="8">
        <v>11719.84181818182</v>
      </c>
      <c r="E9" s="6">
        <v>699631.74</v>
      </c>
      <c r="F9" s="8">
        <v>636028.85454545449</v>
      </c>
      <c r="G9" s="8">
        <v>63602.885454545452</v>
      </c>
      <c r="H9" s="6">
        <v>161784.65000000002</v>
      </c>
      <c r="I9" s="6">
        <v>632311.23</v>
      </c>
      <c r="J9" s="6">
        <v>26059.17</v>
      </c>
      <c r="K9" s="4">
        <v>3980</v>
      </c>
      <c r="L9">
        <v>2780</v>
      </c>
      <c r="M9">
        <v>12200</v>
      </c>
      <c r="N9">
        <v>8395</v>
      </c>
    </row>
    <row r="10" spans="1:15" x14ac:dyDescent="0.3">
      <c r="A10" s="4"/>
      <c r="B10" s="6">
        <v>132514.49</v>
      </c>
      <c r="C10" s="8">
        <v>120467.71818181817</v>
      </c>
      <c r="D10" s="8">
        <v>12046.771818181816</v>
      </c>
      <c r="E10" s="6">
        <v>754165.50999999989</v>
      </c>
      <c r="F10" s="8">
        <v>685605.00909090892</v>
      </c>
      <c r="G10" s="8">
        <v>68560.500909090886</v>
      </c>
      <c r="H10" s="6">
        <v>171376.5</v>
      </c>
      <c r="I10" s="6">
        <v>674691</v>
      </c>
      <c r="J10" s="6">
        <v>36542.5</v>
      </c>
      <c r="K10" s="4">
        <v>7550</v>
      </c>
      <c r="L10">
        <v>4610</v>
      </c>
      <c r="M10">
        <v>11080</v>
      </c>
      <c r="N10">
        <v>4070</v>
      </c>
    </row>
    <row r="11" spans="1:15" x14ac:dyDescent="0.3">
      <c r="A11" s="4"/>
      <c r="B11" s="6">
        <v>139892.97999999998</v>
      </c>
      <c r="C11" s="8">
        <v>127175.43636363634</v>
      </c>
      <c r="D11" s="8">
        <v>12717.543636363633</v>
      </c>
      <c r="E11" s="6">
        <v>685487.22</v>
      </c>
      <c r="F11" s="8">
        <v>623170.19999999995</v>
      </c>
      <c r="G11" s="8">
        <v>62317.02</v>
      </c>
      <c r="H11" s="6">
        <v>149528.75</v>
      </c>
      <c r="I11" s="6">
        <v>637512.94999999995</v>
      </c>
      <c r="J11" s="6">
        <v>36663.5</v>
      </c>
      <c r="K11" s="4">
        <v>6285</v>
      </c>
      <c r="L11">
        <v>6157.5</v>
      </c>
      <c r="M11">
        <v>6830</v>
      </c>
      <c r="N11">
        <v>1675</v>
      </c>
    </row>
    <row r="12" spans="1:15" x14ac:dyDescent="0.3">
      <c r="A12" s="4"/>
      <c r="B12" s="6">
        <v>144336.41</v>
      </c>
      <c r="C12" s="8">
        <v>131214.91818181818</v>
      </c>
      <c r="D12" s="8">
        <v>13121.491818181819</v>
      </c>
      <c r="E12" s="6">
        <v>647797.09000000008</v>
      </c>
      <c r="F12" s="8">
        <v>588906.44545454544</v>
      </c>
      <c r="G12" s="8">
        <v>58890.644545454539</v>
      </c>
      <c r="H12" s="6">
        <v>158809</v>
      </c>
      <c r="I12" s="6">
        <v>591604.5</v>
      </c>
      <c r="J12" s="6">
        <v>40800</v>
      </c>
      <c r="K12" s="4">
        <v>8875</v>
      </c>
      <c r="L12">
        <v>5875</v>
      </c>
      <c r="M12">
        <v>15090</v>
      </c>
      <c r="N12">
        <v>920</v>
      </c>
    </row>
    <row r="13" spans="1:15" x14ac:dyDescent="0.3">
      <c r="A13" s="4"/>
      <c r="B13" s="6">
        <v>134445.44</v>
      </c>
      <c r="C13" s="8">
        <v>122223.12727272726</v>
      </c>
      <c r="D13" s="8">
        <v>12222.312727272725</v>
      </c>
      <c r="E13" s="6">
        <v>593181.81000000006</v>
      </c>
      <c r="F13" s="8">
        <v>539256.19090909092</v>
      </c>
      <c r="G13" s="8">
        <v>53925.619090909095</v>
      </c>
      <c r="H13" s="6">
        <v>156634</v>
      </c>
      <c r="I13" s="6">
        <v>527545</v>
      </c>
      <c r="J13" s="6">
        <v>36931.25</v>
      </c>
      <c r="K13" s="4">
        <v>7285</v>
      </c>
      <c r="L13">
        <v>8495.75</v>
      </c>
      <c r="M13">
        <v>15080</v>
      </c>
      <c r="N13">
        <v>5030.5</v>
      </c>
      <c r="O13">
        <v>1486.5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opLeftCell="A6" workbookViewId="0">
      <selection activeCell="N31" sqref="N31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3" width="12.5546875" style="4" bestFit="1" customWidth="1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45689</v>
      </c>
      <c r="B3" s="14">
        <v>1183.95</v>
      </c>
      <c r="C3" s="9">
        <f>B3/1.1</f>
        <v>1076.3181818181818</v>
      </c>
      <c r="D3" s="9">
        <f>C3*0.1</f>
        <v>107.63181818181818</v>
      </c>
      <c r="E3" s="14">
        <v>6276.35</v>
      </c>
      <c r="F3" s="9">
        <f>E3/1.1</f>
        <v>5705.772727272727</v>
      </c>
      <c r="G3" s="9">
        <f>F3*0.1</f>
        <v>570.57727272727277</v>
      </c>
      <c r="H3" s="14">
        <v>1619.5</v>
      </c>
      <c r="I3" s="14">
        <v>5460.8</v>
      </c>
      <c r="J3" s="14">
        <v>380</v>
      </c>
      <c r="K3" s="18">
        <v>0</v>
      </c>
      <c r="L3" s="18">
        <v>0</v>
      </c>
      <c r="M3" s="18">
        <v>0</v>
      </c>
      <c r="N3" s="18">
        <v>0</v>
      </c>
    </row>
    <row r="4" spans="1:14" x14ac:dyDescent="0.3">
      <c r="A4" s="7">
        <v>45690</v>
      </c>
      <c r="B4" s="14">
        <v>2625</v>
      </c>
      <c r="C4" s="9">
        <f t="shared" ref="C4:C31" si="0">B4/1.1</f>
        <v>2386.363636363636</v>
      </c>
      <c r="D4" s="9">
        <f t="shared" ref="D4:D30" si="1">C4*0.1</f>
        <v>238.63636363636363</v>
      </c>
      <c r="E4" s="14">
        <v>7509.4</v>
      </c>
      <c r="F4" s="9">
        <f t="shared" ref="F4:F31" si="2">E4/1.1</f>
        <v>6826.7272727272721</v>
      </c>
      <c r="G4" s="9">
        <f t="shared" ref="G4:G30" si="3">F4*0.1</f>
        <v>682.67272727272723</v>
      </c>
      <c r="H4" s="14">
        <v>2254</v>
      </c>
      <c r="I4" s="14">
        <v>7880.4</v>
      </c>
      <c r="J4" s="9">
        <v>0</v>
      </c>
      <c r="K4" s="18">
        <v>0</v>
      </c>
      <c r="L4" s="18">
        <v>0</v>
      </c>
      <c r="M4" s="18">
        <v>0</v>
      </c>
      <c r="N4" s="18">
        <v>0</v>
      </c>
    </row>
    <row r="5" spans="1:14" x14ac:dyDescent="0.3">
      <c r="A5" s="7">
        <v>45691</v>
      </c>
      <c r="B5" s="14">
        <v>3505</v>
      </c>
      <c r="C5" s="9">
        <f t="shared" si="0"/>
        <v>3186.363636363636</v>
      </c>
      <c r="D5" s="9">
        <f t="shared" si="1"/>
        <v>318.63636363636363</v>
      </c>
      <c r="E5" s="14">
        <v>11633.9</v>
      </c>
      <c r="F5" s="9">
        <f t="shared" si="2"/>
        <v>10576.272727272726</v>
      </c>
      <c r="G5" s="9">
        <f t="shared" si="3"/>
        <v>1057.6272727272726</v>
      </c>
      <c r="H5" s="14">
        <v>3483.5</v>
      </c>
      <c r="I5" s="14">
        <v>11420.4</v>
      </c>
      <c r="J5" s="14">
        <v>235</v>
      </c>
      <c r="K5" s="18">
        <v>0</v>
      </c>
      <c r="L5" s="18">
        <v>0</v>
      </c>
      <c r="M5" s="18">
        <v>0</v>
      </c>
      <c r="N5" s="18">
        <v>0</v>
      </c>
    </row>
    <row r="6" spans="1:14" x14ac:dyDescent="0.3">
      <c r="A6" s="7">
        <v>45692</v>
      </c>
      <c r="B6" s="14">
        <v>2878.33</v>
      </c>
      <c r="C6" s="9">
        <f t="shared" si="0"/>
        <v>2616.6636363636362</v>
      </c>
      <c r="D6" s="9">
        <f t="shared" si="1"/>
        <v>261.66636363636366</v>
      </c>
      <c r="E6" s="14">
        <v>6935.67</v>
      </c>
      <c r="F6" s="9">
        <f t="shared" si="2"/>
        <v>6305.1545454545449</v>
      </c>
      <c r="G6" s="9">
        <f t="shared" si="3"/>
        <v>630.51545454545453</v>
      </c>
      <c r="H6" s="14">
        <v>2301.5</v>
      </c>
      <c r="I6" s="14">
        <v>7337.5</v>
      </c>
      <c r="J6" s="14">
        <v>175</v>
      </c>
      <c r="K6" s="18">
        <v>0</v>
      </c>
      <c r="L6" s="18">
        <v>0</v>
      </c>
      <c r="M6" s="18">
        <v>0</v>
      </c>
      <c r="N6" s="18">
        <v>0</v>
      </c>
    </row>
    <row r="7" spans="1:14" x14ac:dyDescent="0.3">
      <c r="A7" s="7">
        <v>45693</v>
      </c>
      <c r="B7" s="14">
        <v>2250</v>
      </c>
      <c r="C7" s="9">
        <f t="shared" si="0"/>
        <v>2045.4545454545453</v>
      </c>
      <c r="D7" s="9">
        <f t="shared" si="1"/>
        <v>204.54545454545453</v>
      </c>
      <c r="E7" s="14">
        <v>6723.3</v>
      </c>
      <c r="F7" s="9">
        <f t="shared" si="2"/>
        <v>6112.090909090909</v>
      </c>
      <c r="G7" s="9">
        <f t="shared" si="3"/>
        <v>611.20909090909095</v>
      </c>
      <c r="H7" s="14">
        <v>828</v>
      </c>
      <c r="I7" s="14">
        <v>8145.3</v>
      </c>
      <c r="J7" s="9">
        <v>0</v>
      </c>
      <c r="K7" s="18">
        <v>0</v>
      </c>
      <c r="L7" s="17">
        <v>205</v>
      </c>
      <c r="M7" s="18">
        <v>0</v>
      </c>
      <c r="N7" s="18">
        <v>0</v>
      </c>
    </row>
    <row r="8" spans="1:14" x14ac:dyDescent="0.3">
      <c r="A8" s="7">
        <v>45694</v>
      </c>
      <c r="B8" s="14">
        <v>1894.81</v>
      </c>
      <c r="C8" s="9">
        <f t="shared" si="0"/>
        <v>1722.5545454545452</v>
      </c>
      <c r="D8" s="9">
        <f t="shared" si="1"/>
        <v>172.25545454545454</v>
      </c>
      <c r="E8" s="14">
        <v>5553.69</v>
      </c>
      <c r="F8" s="9">
        <f t="shared" si="2"/>
        <v>5048.8090909090897</v>
      </c>
      <c r="G8" s="9">
        <f t="shared" si="3"/>
        <v>504.88090909090897</v>
      </c>
      <c r="H8" s="14">
        <v>2642</v>
      </c>
      <c r="I8" s="14">
        <v>4806.5</v>
      </c>
      <c r="J8" s="9">
        <v>0</v>
      </c>
      <c r="K8" s="18">
        <v>0</v>
      </c>
      <c r="L8" s="18">
        <v>0</v>
      </c>
      <c r="M8" s="18">
        <v>0</v>
      </c>
      <c r="N8" s="18">
        <v>0</v>
      </c>
    </row>
    <row r="9" spans="1:14" x14ac:dyDescent="0.3">
      <c r="A9" s="7">
        <v>45695</v>
      </c>
      <c r="B9" s="14">
        <v>3891.15</v>
      </c>
      <c r="C9" s="9">
        <f t="shared" si="0"/>
        <v>3537.4090909090905</v>
      </c>
      <c r="D9" s="9">
        <f t="shared" si="1"/>
        <v>353.7409090909091</v>
      </c>
      <c r="E9" s="14">
        <v>7344.85</v>
      </c>
      <c r="F9" s="9">
        <f t="shared" si="2"/>
        <v>6677.1363636363631</v>
      </c>
      <c r="G9" s="9">
        <f t="shared" si="3"/>
        <v>667.7136363636364</v>
      </c>
      <c r="H9" s="14">
        <v>2227</v>
      </c>
      <c r="I9" s="14">
        <v>9009</v>
      </c>
      <c r="J9" s="9">
        <v>0</v>
      </c>
      <c r="K9" s="18">
        <v>0</v>
      </c>
      <c r="L9" s="18">
        <v>0</v>
      </c>
      <c r="M9" s="18">
        <v>0</v>
      </c>
      <c r="N9" s="18">
        <v>0</v>
      </c>
    </row>
    <row r="10" spans="1:14" x14ac:dyDescent="0.3">
      <c r="A10" s="7">
        <v>45696</v>
      </c>
      <c r="B10" s="14">
        <v>2019.99</v>
      </c>
      <c r="C10" s="9">
        <f t="shared" si="0"/>
        <v>1836.3545454545454</v>
      </c>
      <c r="D10" s="9">
        <f t="shared" si="1"/>
        <v>183.63545454545454</v>
      </c>
      <c r="E10" s="14">
        <v>8754.01</v>
      </c>
      <c r="F10" s="9">
        <f t="shared" si="2"/>
        <v>7958.1909090909085</v>
      </c>
      <c r="G10" s="9">
        <f t="shared" si="3"/>
        <v>795.81909090909085</v>
      </c>
      <c r="H10" s="14">
        <v>2343</v>
      </c>
      <c r="I10" s="14">
        <v>8431</v>
      </c>
      <c r="J10" s="9">
        <v>0</v>
      </c>
      <c r="K10" s="18">
        <v>0</v>
      </c>
      <c r="L10" s="18">
        <v>0</v>
      </c>
      <c r="M10" s="18">
        <v>0</v>
      </c>
      <c r="N10" s="18">
        <v>0</v>
      </c>
    </row>
    <row r="11" spans="1:14" x14ac:dyDescent="0.3">
      <c r="A11" s="7">
        <v>45697</v>
      </c>
      <c r="B11" s="14">
        <v>2555.79</v>
      </c>
      <c r="C11" s="9">
        <f t="shared" si="0"/>
        <v>2323.4454545454541</v>
      </c>
      <c r="D11" s="9">
        <f t="shared" si="1"/>
        <v>232.34454545454543</v>
      </c>
      <c r="E11" s="14">
        <v>7527.21</v>
      </c>
      <c r="F11" s="9">
        <f t="shared" si="2"/>
        <v>6842.9181818181814</v>
      </c>
      <c r="G11" s="9">
        <f t="shared" si="3"/>
        <v>684.29181818181814</v>
      </c>
      <c r="H11" s="14">
        <v>902</v>
      </c>
      <c r="I11" s="14">
        <v>9121</v>
      </c>
      <c r="J11" s="14">
        <v>60</v>
      </c>
      <c r="K11" s="18">
        <v>0</v>
      </c>
      <c r="L11" s="18">
        <v>0</v>
      </c>
      <c r="M11" s="18">
        <v>0</v>
      </c>
      <c r="N11" s="18">
        <v>0</v>
      </c>
    </row>
    <row r="12" spans="1:14" x14ac:dyDescent="0.3">
      <c r="A12" s="7">
        <v>45698</v>
      </c>
      <c r="B12" s="14">
        <v>3090</v>
      </c>
      <c r="C12" s="9">
        <f t="shared" si="0"/>
        <v>2809.090909090909</v>
      </c>
      <c r="D12" s="9">
        <f t="shared" si="1"/>
        <v>280.90909090909093</v>
      </c>
      <c r="E12" s="14">
        <v>10104.9</v>
      </c>
      <c r="F12" s="9">
        <f t="shared" si="2"/>
        <v>9186.2727272727261</v>
      </c>
      <c r="G12" s="9">
        <f t="shared" si="3"/>
        <v>918.62727272727261</v>
      </c>
      <c r="H12" s="14">
        <v>1311.5</v>
      </c>
      <c r="I12" s="14">
        <v>11394.4</v>
      </c>
      <c r="J12" s="14">
        <v>489</v>
      </c>
      <c r="K12" s="18">
        <v>0</v>
      </c>
      <c r="L12" s="17">
        <v>75</v>
      </c>
      <c r="M12" s="18">
        <v>0</v>
      </c>
      <c r="N12" s="18">
        <v>0</v>
      </c>
    </row>
    <row r="13" spans="1:14" x14ac:dyDescent="0.3">
      <c r="A13" s="7">
        <v>45699</v>
      </c>
      <c r="B13" s="14">
        <v>2830</v>
      </c>
      <c r="C13" s="9">
        <f t="shared" si="0"/>
        <v>2572.7272727272725</v>
      </c>
      <c r="D13" s="9">
        <f t="shared" si="1"/>
        <v>257.27272727272725</v>
      </c>
      <c r="E13" s="14">
        <v>10288</v>
      </c>
      <c r="F13" s="9">
        <f t="shared" si="2"/>
        <v>9352.7272727272721</v>
      </c>
      <c r="G13" s="9">
        <f t="shared" si="3"/>
        <v>935.27272727272725</v>
      </c>
      <c r="H13" s="14">
        <v>3960</v>
      </c>
      <c r="I13" s="14">
        <v>8968</v>
      </c>
      <c r="J13" s="14">
        <v>190</v>
      </c>
      <c r="K13" s="18">
        <v>0</v>
      </c>
      <c r="L13" s="18">
        <v>0</v>
      </c>
      <c r="M13" s="18">
        <v>0</v>
      </c>
      <c r="N13" s="18">
        <v>0</v>
      </c>
    </row>
    <row r="14" spans="1:14" x14ac:dyDescent="0.3">
      <c r="A14" s="7">
        <v>45700</v>
      </c>
      <c r="B14" s="14">
        <v>2205</v>
      </c>
      <c r="C14" s="9">
        <f t="shared" si="0"/>
        <v>2004.5454545454543</v>
      </c>
      <c r="D14" s="9">
        <f t="shared" si="1"/>
        <v>200.45454545454544</v>
      </c>
      <c r="E14" s="14">
        <v>5260.5</v>
      </c>
      <c r="F14" s="9">
        <f t="shared" si="2"/>
        <v>4782.272727272727</v>
      </c>
      <c r="G14" s="9">
        <f t="shared" si="3"/>
        <v>478.22727272727275</v>
      </c>
      <c r="H14" s="14">
        <v>1076</v>
      </c>
      <c r="I14" s="14">
        <v>6389.5</v>
      </c>
      <c r="J14" s="9">
        <v>0</v>
      </c>
      <c r="K14" s="18">
        <v>0</v>
      </c>
      <c r="L14" s="18">
        <v>0</v>
      </c>
      <c r="M14" s="18">
        <v>0</v>
      </c>
      <c r="N14" s="18">
        <v>0</v>
      </c>
    </row>
    <row r="15" spans="1:14" x14ac:dyDescent="0.3">
      <c r="A15" s="7">
        <v>45701</v>
      </c>
      <c r="B15" s="14">
        <v>3010.79</v>
      </c>
      <c r="C15" s="9">
        <f t="shared" si="0"/>
        <v>2737.0818181818181</v>
      </c>
      <c r="D15" s="9">
        <f t="shared" si="1"/>
        <v>273.7081818181818</v>
      </c>
      <c r="E15" s="14">
        <v>8185.21</v>
      </c>
      <c r="F15" s="9">
        <f t="shared" si="2"/>
        <v>7441.0999999999995</v>
      </c>
      <c r="G15" s="9">
        <f t="shared" si="3"/>
        <v>744.11</v>
      </c>
      <c r="H15" s="14">
        <v>2116</v>
      </c>
      <c r="I15" s="14">
        <v>8960</v>
      </c>
      <c r="J15" s="14">
        <v>120</v>
      </c>
      <c r="K15" s="18">
        <v>0</v>
      </c>
      <c r="L15" s="18">
        <v>0</v>
      </c>
      <c r="M15" s="18">
        <v>0</v>
      </c>
      <c r="N15" s="18">
        <v>0</v>
      </c>
    </row>
    <row r="16" spans="1:14" x14ac:dyDescent="0.3">
      <c r="A16" s="7">
        <v>45702</v>
      </c>
      <c r="B16" s="14">
        <v>3280</v>
      </c>
      <c r="C16" s="9">
        <f t="shared" si="0"/>
        <v>2981.8181818181815</v>
      </c>
      <c r="D16" s="9">
        <f t="shared" si="1"/>
        <v>298.18181818181819</v>
      </c>
      <c r="E16" s="14">
        <v>8426.5</v>
      </c>
      <c r="F16" s="9">
        <f t="shared" si="2"/>
        <v>7660.454545454545</v>
      </c>
      <c r="G16" s="9">
        <f t="shared" si="3"/>
        <v>766.0454545454545</v>
      </c>
      <c r="H16" s="14">
        <v>2140.5</v>
      </c>
      <c r="I16" s="14">
        <v>9416</v>
      </c>
      <c r="J16" s="14">
        <v>150</v>
      </c>
      <c r="K16" s="18">
        <v>0</v>
      </c>
      <c r="L16" s="18">
        <v>0</v>
      </c>
      <c r="M16" s="18">
        <v>0</v>
      </c>
      <c r="N16" s="18">
        <v>0</v>
      </c>
    </row>
    <row r="17" spans="1:14" x14ac:dyDescent="0.3">
      <c r="A17" s="7">
        <v>45703</v>
      </c>
      <c r="B17" s="14">
        <f>3670.29</f>
        <v>3670.29</v>
      </c>
      <c r="C17" s="9">
        <f t="shared" si="0"/>
        <v>3336.6272727272726</v>
      </c>
      <c r="D17" s="9">
        <f t="shared" si="1"/>
        <v>333.6627272727273</v>
      </c>
      <c r="E17" s="14">
        <v>11391.21</v>
      </c>
      <c r="F17" s="9">
        <f t="shared" si="2"/>
        <v>10355.645454545453</v>
      </c>
      <c r="G17" s="9">
        <f t="shared" si="3"/>
        <v>1035.5645454545454</v>
      </c>
      <c r="H17" s="14">
        <v>2853</v>
      </c>
      <c r="I17" s="14">
        <v>11778.5</v>
      </c>
      <c r="J17" s="14">
        <v>430</v>
      </c>
      <c r="K17" s="18">
        <v>0</v>
      </c>
      <c r="L17" s="18">
        <v>0</v>
      </c>
      <c r="M17" s="18">
        <v>0</v>
      </c>
      <c r="N17" s="18">
        <v>0</v>
      </c>
    </row>
    <row r="18" spans="1:14" x14ac:dyDescent="0.3">
      <c r="A18" s="7">
        <v>45704</v>
      </c>
      <c r="B18" s="14">
        <v>4255</v>
      </c>
      <c r="C18" s="9">
        <f t="shared" si="0"/>
        <v>3868.181818181818</v>
      </c>
      <c r="D18" s="9">
        <f t="shared" si="1"/>
        <v>386.81818181818181</v>
      </c>
      <c r="E18" s="14">
        <v>13520.5</v>
      </c>
      <c r="F18" s="9">
        <f t="shared" si="2"/>
        <v>12291.363636363636</v>
      </c>
      <c r="G18" s="9">
        <f t="shared" si="3"/>
        <v>1229.1363636363637</v>
      </c>
      <c r="H18" s="14">
        <v>2690</v>
      </c>
      <c r="I18" s="14">
        <v>14778.5</v>
      </c>
      <c r="J18" s="14">
        <v>307</v>
      </c>
      <c r="K18" s="18">
        <v>0</v>
      </c>
      <c r="L18" s="18">
        <v>0</v>
      </c>
      <c r="M18" s="18">
        <v>0</v>
      </c>
      <c r="N18" s="18">
        <v>0</v>
      </c>
    </row>
    <row r="19" spans="1:14" x14ac:dyDescent="0.3">
      <c r="A19" s="7">
        <v>45705</v>
      </c>
      <c r="B19" s="14">
        <v>3932.5</v>
      </c>
      <c r="C19" s="9">
        <f t="shared" si="0"/>
        <v>3574.9999999999995</v>
      </c>
      <c r="D19" s="9">
        <f t="shared" si="1"/>
        <v>357.5</v>
      </c>
      <c r="E19" s="14">
        <v>7727</v>
      </c>
      <c r="F19" s="9">
        <f t="shared" si="2"/>
        <v>7024.545454545454</v>
      </c>
      <c r="G19" s="9">
        <f t="shared" si="3"/>
        <v>702.4545454545455</v>
      </c>
      <c r="H19" s="14">
        <v>1791</v>
      </c>
      <c r="I19" s="14">
        <v>9503.5</v>
      </c>
      <c r="J19" s="14">
        <v>365</v>
      </c>
      <c r="K19" s="18">
        <v>0</v>
      </c>
      <c r="L19" s="18">
        <v>0</v>
      </c>
      <c r="M19" s="18">
        <v>0</v>
      </c>
      <c r="N19" s="18">
        <v>0</v>
      </c>
    </row>
    <row r="20" spans="1:14" x14ac:dyDescent="0.3">
      <c r="A20" s="7">
        <v>45706</v>
      </c>
      <c r="B20" s="14">
        <v>2530.85</v>
      </c>
      <c r="C20" s="9">
        <f t="shared" si="0"/>
        <v>2300.772727272727</v>
      </c>
      <c r="D20" s="9">
        <f t="shared" si="1"/>
        <v>230.07727272727271</v>
      </c>
      <c r="E20" s="14">
        <v>8378.15</v>
      </c>
      <c r="F20" s="9">
        <f t="shared" si="2"/>
        <v>7616.4999999999991</v>
      </c>
      <c r="G20" s="9">
        <f t="shared" si="3"/>
        <v>761.65</v>
      </c>
      <c r="H20" s="14">
        <v>2100</v>
      </c>
      <c r="I20" s="14">
        <v>8569</v>
      </c>
      <c r="J20" s="14">
        <v>240</v>
      </c>
      <c r="K20" s="18">
        <v>0</v>
      </c>
      <c r="L20" s="18">
        <v>0</v>
      </c>
      <c r="M20" s="18">
        <v>0</v>
      </c>
      <c r="N20" s="18">
        <v>0</v>
      </c>
    </row>
    <row r="21" spans="1:14" x14ac:dyDescent="0.3">
      <c r="A21" s="7">
        <v>45707</v>
      </c>
      <c r="B21" s="14">
        <f>2790</f>
        <v>2790</v>
      </c>
      <c r="C21" s="9">
        <f t="shared" si="0"/>
        <v>2536.363636363636</v>
      </c>
      <c r="D21" s="9">
        <f t="shared" si="1"/>
        <v>253.63636363636363</v>
      </c>
      <c r="E21" s="14">
        <v>8194.5</v>
      </c>
      <c r="F21" s="9">
        <f t="shared" si="2"/>
        <v>7449.545454545454</v>
      </c>
      <c r="G21" s="9">
        <f t="shared" si="3"/>
        <v>744.9545454545455</v>
      </c>
      <c r="H21" s="14">
        <v>1777.5</v>
      </c>
      <c r="I21" s="14">
        <v>9074.5</v>
      </c>
      <c r="J21" s="14">
        <v>132.5</v>
      </c>
      <c r="K21" s="18">
        <v>0</v>
      </c>
      <c r="L21" s="17">
        <v>165</v>
      </c>
      <c r="M21" s="18">
        <v>0</v>
      </c>
      <c r="N21" s="18">
        <v>0</v>
      </c>
    </row>
    <row r="22" spans="1:14" x14ac:dyDescent="0.3">
      <c r="A22" s="7">
        <v>45708</v>
      </c>
      <c r="B22" s="14">
        <v>3350</v>
      </c>
      <c r="C22" s="9">
        <f t="shared" si="0"/>
        <v>3045.454545454545</v>
      </c>
      <c r="D22" s="9">
        <f t="shared" si="1"/>
        <v>304.5454545454545</v>
      </c>
      <c r="E22" s="14">
        <v>9524</v>
      </c>
      <c r="F22" s="9">
        <f t="shared" si="2"/>
        <v>8658.181818181818</v>
      </c>
      <c r="G22" s="9">
        <f t="shared" si="3"/>
        <v>865.81818181818187</v>
      </c>
      <c r="H22" s="14">
        <v>4446</v>
      </c>
      <c r="I22" s="14">
        <v>8268</v>
      </c>
      <c r="J22" s="14">
        <v>160</v>
      </c>
      <c r="K22" s="17">
        <v>190</v>
      </c>
      <c r="L22" s="18">
        <v>0</v>
      </c>
      <c r="M22" s="18">
        <v>0</v>
      </c>
      <c r="N22" s="17">
        <v>340</v>
      </c>
    </row>
    <row r="23" spans="1:14" x14ac:dyDescent="0.3">
      <c r="A23" s="7">
        <v>45709</v>
      </c>
      <c r="B23" s="14">
        <v>3825</v>
      </c>
      <c r="C23" s="9">
        <f t="shared" si="0"/>
        <v>3477.272727272727</v>
      </c>
      <c r="D23" s="9">
        <f t="shared" si="1"/>
        <v>347.72727272727275</v>
      </c>
      <c r="E23" s="14">
        <v>6620.5</v>
      </c>
      <c r="F23" s="9">
        <f t="shared" si="2"/>
        <v>6018.6363636363631</v>
      </c>
      <c r="G23" s="9">
        <f t="shared" si="3"/>
        <v>601.86363636363637</v>
      </c>
      <c r="H23" s="14">
        <v>2373</v>
      </c>
      <c r="I23" s="14">
        <v>7815.5</v>
      </c>
      <c r="J23" s="14">
        <v>257</v>
      </c>
      <c r="K23" s="18">
        <v>0</v>
      </c>
      <c r="L23" s="17">
        <v>307.5</v>
      </c>
      <c r="M23" s="18">
        <v>0</v>
      </c>
      <c r="N23" s="18">
        <v>0</v>
      </c>
    </row>
    <row r="24" spans="1:14" x14ac:dyDescent="0.3">
      <c r="A24" s="7">
        <v>45710</v>
      </c>
      <c r="B24" s="14">
        <v>4145</v>
      </c>
      <c r="C24" s="9">
        <f t="shared" si="0"/>
        <v>3768.181818181818</v>
      </c>
      <c r="D24" s="9">
        <f t="shared" si="1"/>
        <v>376.81818181818181</v>
      </c>
      <c r="E24" s="14">
        <v>8959</v>
      </c>
      <c r="F24" s="9">
        <f t="shared" si="2"/>
        <v>8144.545454545454</v>
      </c>
      <c r="G24" s="9">
        <f t="shared" si="3"/>
        <v>814.4545454545455</v>
      </c>
      <c r="H24" s="14">
        <v>1345</v>
      </c>
      <c r="I24" s="14">
        <v>11759</v>
      </c>
      <c r="J24" s="9">
        <v>0</v>
      </c>
      <c r="K24" s="17">
        <v>1189</v>
      </c>
      <c r="L24" s="18">
        <v>0</v>
      </c>
      <c r="M24" s="18">
        <v>0</v>
      </c>
      <c r="N24" s="18">
        <v>0</v>
      </c>
    </row>
    <row r="25" spans="1:14" x14ac:dyDescent="0.3">
      <c r="A25" s="7">
        <v>45711</v>
      </c>
      <c r="B25" s="14">
        <v>2285</v>
      </c>
      <c r="C25" s="9">
        <f t="shared" si="0"/>
        <v>2077.272727272727</v>
      </c>
      <c r="D25" s="9">
        <f t="shared" si="1"/>
        <v>207.72727272727272</v>
      </c>
      <c r="E25" s="14">
        <v>10891</v>
      </c>
      <c r="F25" s="9">
        <f t="shared" si="2"/>
        <v>9900.9090909090901</v>
      </c>
      <c r="G25" s="9">
        <f t="shared" si="3"/>
        <v>990.09090909090901</v>
      </c>
      <c r="H25" s="14">
        <v>1752</v>
      </c>
      <c r="I25" s="14">
        <v>11424</v>
      </c>
      <c r="J25" s="9">
        <v>0</v>
      </c>
      <c r="K25" s="18">
        <v>0</v>
      </c>
      <c r="L25" s="18">
        <v>0</v>
      </c>
      <c r="M25" s="18">
        <v>0</v>
      </c>
      <c r="N25" s="17">
        <v>240</v>
      </c>
    </row>
    <row r="26" spans="1:14" x14ac:dyDescent="0.3">
      <c r="A26" s="7">
        <v>45712</v>
      </c>
      <c r="B26" s="14">
        <v>1940</v>
      </c>
      <c r="C26" s="9">
        <f t="shared" si="0"/>
        <v>1763.6363636363635</v>
      </c>
      <c r="D26" s="9">
        <f t="shared" si="1"/>
        <v>176.36363636363637</v>
      </c>
      <c r="E26" s="14">
        <v>8454</v>
      </c>
      <c r="F26" s="9">
        <f t="shared" si="2"/>
        <v>7685.454545454545</v>
      </c>
      <c r="G26" s="9">
        <f t="shared" si="3"/>
        <v>768.5454545454545</v>
      </c>
      <c r="H26" s="14">
        <v>1173.5</v>
      </c>
      <c r="I26" s="14">
        <v>9220.5</v>
      </c>
      <c r="J26" s="9">
        <v>0</v>
      </c>
      <c r="K26" s="18">
        <v>0</v>
      </c>
      <c r="L26" s="17">
        <v>370</v>
      </c>
      <c r="M26" s="18">
        <v>0</v>
      </c>
      <c r="N26" s="17">
        <v>155</v>
      </c>
    </row>
    <row r="27" spans="1:14" x14ac:dyDescent="0.3">
      <c r="A27" s="7">
        <v>45713</v>
      </c>
      <c r="B27" s="14">
        <v>3920</v>
      </c>
      <c r="C27" s="9">
        <f t="shared" si="0"/>
        <v>3563.6363636363635</v>
      </c>
      <c r="D27" s="9">
        <f t="shared" si="1"/>
        <v>356.36363636363637</v>
      </c>
      <c r="E27" s="14">
        <v>8770</v>
      </c>
      <c r="F27" s="9">
        <f t="shared" si="2"/>
        <v>7972.7272727272721</v>
      </c>
      <c r="G27" s="9">
        <f t="shared" si="3"/>
        <v>797.27272727272725</v>
      </c>
      <c r="H27" s="14">
        <v>2246</v>
      </c>
      <c r="I27" s="14">
        <f>10444-697</f>
        <v>9747</v>
      </c>
      <c r="J27" s="14">
        <v>697</v>
      </c>
      <c r="K27" s="17">
        <v>165</v>
      </c>
      <c r="L27" s="18">
        <v>0</v>
      </c>
      <c r="M27" s="18">
        <v>0</v>
      </c>
      <c r="N27" s="18">
        <v>0</v>
      </c>
    </row>
    <row r="28" spans="1:14" x14ac:dyDescent="0.3">
      <c r="A28" s="7">
        <v>45714</v>
      </c>
      <c r="B28" s="14">
        <v>2993.15</v>
      </c>
      <c r="C28" s="9">
        <f t="shared" si="0"/>
        <v>2721.0454545454545</v>
      </c>
      <c r="D28" s="9">
        <f t="shared" si="1"/>
        <v>272.10454545454547</v>
      </c>
      <c r="E28" s="14">
        <v>9503.35</v>
      </c>
      <c r="F28" s="9">
        <f t="shared" si="2"/>
        <v>8639.4090909090901</v>
      </c>
      <c r="G28" s="9">
        <f t="shared" si="3"/>
        <v>863.94090909090903</v>
      </c>
      <c r="H28" s="14">
        <v>2239</v>
      </c>
      <c r="I28" s="14">
        <f>10257.5-200</f>
        <v>10057.5</v>
      </c>
      <c r="J28" s="14">
        <v>200</v>
      </c>
      <c r="K28" s="18">
        <v>0</v>
      </c>
      <c r="L28" s="18">
        <v>0</v>
      </c>
      <c r="M28" s="17">
        <v>675</v>
      </c>
      <c r="N28" s="17">
        <v>135</v>
      </c>
    </row>
    <row r="29" spans="1:14" x14ac:dyDescent="0.3">
      <c r="A29" s="7">
        <v>45715</v>
      </c>
      <c r="B29" s="14">
        <v>2797.5</v>
      </c>
      <c r="C29" s="9">
        <f t="shared" si="0"/>
        <v>2543.181818181818</v>
      </c>
      <c r="D29" s="9">
        <f t="shared" si="1"/>
        <v>254.31818181818181</v>
      </c>
      <c r="E29" s="14">
        <v>11442.5</v>
      </c>
      <c r="F29" s="9">
        <f t="shared" si="2"/>
        <v>10402.272727272726</v>
      </c>
      <c r="G29" s="9">
        <f t="shared" si="3"/>
        <v>1040.2272727272727</v>
      </c>
      <c r="H29" s="14">
        <v>3103</v>
      </c>
      <c r="I29" s="14">
        <f>11137-392</f>
        <v>10745</v>
      </c>
      <c r="J29" s="14">
        <v>392</v>
      </c>
      <c r="K29" s="18">
        <v>0</v>
      </c>
      <c r="L29" s="18">
        <v>0</v>
      </c>
      <c r="M29" s="17">
        <v>190</v>
      </c>
      <c r="N29" s="17">
        <v>330</v>
      </c>
    </row>
    <row r="30" spans="1:14" x14ac:dyDescent="0.3">
      <c r="A30" s="7">
        <v>45716</v>
      </c>
      <c r="B30" s="14">
        <v>5880</v>
      </c>
      <c r="C30" s="9">
        <f t="shared" si="0"/>
        <v>5345.454545454545</v>
      </c>
      <c r="D30" s="9">
        <f t="shared" si="1"/>
        <v>534.5454545454545</v>
      </c>
      <c r="E30" s="14">
        <v>13139.5</v>
      </c>
      <c r="F30" s="9">
        <f t="shared" si="2"/>
        <v>11944.999999999998</v>
      </c>
      <c r="G30" s="9">
        <f t="shared" si="3"/>
        <v>1194.4999999999998</v>
      </c>
      <c r="H30" s="14">
        <v>3789</v>
      </c>
      <c r="I30" s="14">
        <v>15230.5</v>
      </c>
      <c r="J30" s="9">
        <v>0</v>
      </c>
      <c r="K30" s="18">
        <v>0</v>
      </c>
      <c r="L30" s="18">
        <v>0</v>
      </c>
      <c r="M30" s="18">
        <v>0</v>
      </c>
      <c r="N30" s="17">
        <v>700</v>
      </c>
    </row>
    <row r="31" spans="1:14" x14ac:dyDescent="0.3">
      <c r="B31" s="6">
        <f>SUM(B3:B30)</f>
        <v>85534.099999999991</v>
      </c>
      <c r="C31" s="8">
        <f t="shared" si="0"/>
        <v>77758.272727272706</v>
      </c>
      <c r="D31" s="8">
        <f t="shared" ref="D31" si="4">C31*10/100</f>
        <v>7775.8272727272706</v>
      </c>
      <c r="E31" s="6">
        <f>SUM(E3:E30)</f>
        <v>247038.7</v>
      </c>
      <c r="F31" s="8">
        <f t="shared" si="2"/>
        <v>224580.63636363635</v>
      </c>
      <c r="G31" s="8">
        <f t="shared" ref="G31" si="5">F31*10/100</f>
        <v>22458.063636363633</v>
      </c>
      <c r="H31" s="6">
        <f t="shared" ref="H31:N31" si="6">SUM(H3:H30)</f>
        <v>62882.5</v>
      </c>
      <c r="I31" s="6">
        <f t="shared" si="6"/>
        <v>264710.8</v>
      </c>
      <c r="J31" s="19">
        <f t="shared" si="6"/>
        <v>4979.5</v>
      </c>
      <c r="K31" s="19">
        <f t="shared" si="6"/>
        <v>1544</v>
      </c>
      <c r="L31" s="19">
        <f t="shared" si="6"/>
        <v>1122.5</v>
      </c>
      <c r="M31" s="19">
        <f t="shared" si="6"/>
        <v>865</v>
      </c>
      <c r="N31" s="19">
        <f t="shared" si="6"/>
        <v>1900</v>
      </c>
    </row>
    <row r="32" spans="1:14" x14ac:dyDescent="0.3">
      <c r="B32" s="5"/>
      <c r="C32" s="5"/>
      <c r="D32" s="5"/>
      <c r="E32" s="5"/>
      <c r="F32" s="5"/>
      <c r="G32" s="5"/>
      <c r="H32" s="5"/>
      <c r="I32" s="5"/>
      <c r="J32" s="5"/>
      <c r="K32" s="20" t="s">
        <v>16</v>
      </c>
      <c r="L32" s="20" t="s">
        <v>16</v>
      </c>
      <c r="M32" s="20" t="s">
        <v>16</v>
      </c>
      <c r="N32" s="20" t="s">
        <v>16</v>
      </c>
    </row>
    <row r="33" spans="4:13" x14ac:dyDescent="0.3">
      <c r="D33" s="5"/>
      <c r="I33" s="5"/>
      <c r="K33" s="4" t="s">
        <v>17</v>
      </c>
      <c r="L33" s="4" t="s">
        <v>17</v>
      </c>
      <c r="M33" s="4" t="s">
        <v>17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0" workbookViewId="0">
      <selection activeCell="N34" sqref="N34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22.33203125" style="4" bestFit="1" customWidth="1"/>
    <col min="13" max="13" width="19.33203125" style="4" bestFit="1" customWidth="1"/>
    <col min="14" max="14" width="16.88671875" style="4" bestFit="1" customWidth="1"/>
    <col min="15" max="15" width="20.33203125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45717</v>
      </c>
      <c r="B3" s="14">
        <v>1000</v>
      </c>
      <c r="C3" s="9">
        <f>B3/1.1</f>
        <v>909.09090909090901</v>
      </c>
      <c r="D3" s="9">
        <f>C3*0.1</f>
        <v>90.909090909090907</v>
      </c>
      <c r="E3" s="14">
        <v>9755</v>
      </c>
      <c r="F3" s="9">
        <f>E3/1.1</f>
        <v>8868.181818181818</v>
      </c>
      <c r="G3" s="9">
        <f>F3*0.1</f>
        <v>886.81818181818187</v>
      </c>
      <c r="H3" s="14">
        <v>1454</v>
      </c>
      <c r="I3" s="14">
        <f>9301-275</f>
        <v>9026</v>
      </c>
      <c r="J3" s="14">
        <v>275</v>
      </c>
      <c r="K3" s="18">
        <v>0</v>
      </c>
      <c r="L3" s="18">
        <v>0</v>
      </c>
      <c r="M3" s="17">
        <v>105</v>
      </c>
      <c r="N3" s="18">
        <v>0</v>
      </c>
    </row>
    <row r="4" spans="1:14" x14ac:dyDescent="0.3">
      <c r="A4" s="7">
        <v>45718</v>
      </c>
      <c r="B4" s="14">
        <v>2620</v>
      </c>
      <c r="C4" s="9">
        <f t="shared" ref="C4:C34" si="0">B4/1.1</f>
        <v>2381.8181818181815</v>
      </c>
      <c r="D4" s="9">
        <f t="shared" ref="D4:D31" si="1">C4*0.1</f>
        <v>238.18181818181816</v>
      </c>
      <c r="E4" s="14">
        <v>7440</v>
      </c>
      <c r="F4" s="9">
        <f t="shared" ref="F4:F34" si="2">E4/1.1</f>
        <v>6763.6363636363631</v>
      </c>
      <c r="G4" s="9">
        <f t="shared" ref="G4:G31" si="3">F4*0.1</f>
        <v>676.36363636363637</v>
      </c>
      <c r="H4" s="14">
        <v>1724</v>
      </c>
      <c r="I4" s="14">
        <v>8336</v>
      </c>
      <c r="J4" s="9">
        <v>0</v>
      </c>
      <c r="K4" s="18">
        <v>0</v>
      </c>
      <c r="L4" s="17">
        <v>72.5</v>
      </c>
      <c r="M4" s="18">
        <v>0</v>
      </c>
      <c r="N4" s="18">
        <v>0</v>
      </c>
    </row>
    <row r="5" spans="1:14" x14ac:dyDescent="0.3">
      <c r="A5" s="7">
        <v>45719</v>
      </c>
      <c r="B5" s="14">
        <v>2620</v>
      </c>
      <c r="C5" s="9">
        <f t="shared" si="0"/>
        <v>2381.8181818181815</v>
      </c>
      <c r="D5" s="9">
        <f t="shared" si="1"/>
        <v>238.18181818181816</v>
      </c>
      <c r="E5" s="14">
        <v>6958</v>
      </c>
      <c r="F5" s="9">
        <f t="shared" si="2"/>
        <v>6325.454545454545</v>
      </c>
      <c r="G5" s="9">
        <f t="shared" si="3"/>
        <v>632.5454545454545</v>
      </c>
      <c r="H5" s="14">
        <v>1367</v>
      </c>
      <c r="I5" s="14">
        <v>8211</v>
      </c>
      <c r="J5" s="9">
        <v>0</v>
      </c>
      <c r="K5" s="18">
        <v>0</v>
      </c>
      <c r="L5" s="18">
        <v>0</v>
      </c>
      <c r="M5" s="18">
        <v>0</v>
      </c>
      <c r="N5" s="18">
        <v>0</v>
      </c>
    </row>
    <row r="6" spans="1:14" x14ac:dyDescent="0.3">
      <c r="A6" s="7">
        <v>45720</v>
      </c>
      <c r="B6" s="14">
        <v>3713.44</v>
      </c>
      <c r="C6" s="9">
        <f t="shared" si="0"/>
        <v>3375.8545454545451</v>
      </c>
      <c r="D6" s="9">
        <f t="shared" si="1"/>
        <v>337.58545454545452</v>
      </c>
      <c r="E6" s="14">
        <v>8861.06</v>
      </c>
      <c r="F6" s="9">
        <f t="shared" si="2"/>
        <v>8055.5090909090895</v>
      </c>
      <c r="G6" s="9">
        <f t="shared" si="3"/>
        <v>805.55090909090904</v>
      </c>
      <c r="H6" s="14">
        <v>2594</v>
      </c>
      <c r="I6" s="14">
        <v>9980.5</v>
      </c>
      <c r="J6" s="9">
        <v>0</v>
      </c>
      <c r="K6" s="18">
        <v>0</v>
      </c>
      <c r="L6" s="18">
        <v>0</v>
      </c>
      <c r="M6" s="18">
        <v>0</v>
      </c>
      <c r="N6" s="17">
        <v>270</v>
      </c>
    </row>
    <row r="7" spans="1:14" x14ac:dyDescent="0.3">
      <c r="A7" s="7">
        <v>45721</v>
      </c>
      <c r="B7" s="14">
        <v>2155</v>
      </c>
      <c r="C7" s="9">
        <f t="shared" si="0"/>
        <v>1959.090909090909</v>
      </c>
      <c r="D7" s="9">
        <f t="shared" si="1"/>
        <v>195.90909090909091</v>
      </c>
      <c r="E7" s="14">
        <v>8424</v>
      </c>
      <c r="F7" s="9">
        <f t="shared" si="2"/>
        <v>7658.181818181818</v>
      </c>
      <c r="G7" s="9">
        <f t="shared" si="3"/>
        <v>765.81818181818187</v>
      </c>
      <c r="H7" s="14">
        <v>1520</v>
      </c>
      <c r="I7" s="14">
        <v>9059</v>
      </c>
      <c r="J7" s="9">
        <v>0</v>
      </c>
      <c r="K7" s="18">
        <v>0</v>
      </c>
      <c r="L7" s="18">
        <v>0</v>
      </c>
      <c r="M7" s="18">
        <v>0</v>
      </c>
      <c r="N7" s="17">
        <v>345</v>
      </c>
    </row>
    <row r="8" spans="1:14" x14ac:dyDescent="0.3">
      <c r="A8" s="7">
        <v>45722</v>
      </c>
      <c r="B8" s="14">
        <v>2100</v>
      </c>
      <c r="C8" s="9">
        <f t="shared" si="0"/>
        <v>1909.090909090909</v>
      </c>
      <c r="D8" s="9">
        <f t="shared" si="1"/>
        <v>190.90909090909091</v>
      </c>
      <c r="E8" s="14">
        <v>8001</v>
      </c>
      <c r="F8" s="9">
        <f t="shared" si="2"/>
        <v>7273.6363636363631</v>
      </c>
      <c r="G8" s="9">
        <f t="shared" si="3"/>
        <v>727.36363636363637</v>
      </c>
      <c r="H8" s="14">
        <v>2795</v>
      </c>
      <c r="I8" s="14">
        <f>7306-227</f>
        <v>7079</v>
      </c>
      <c r="J8" s="14">
        <v>227</v>
      </c>
      <c r="K8" s="18">
        <v>0</v>
      </c>
      <c r="L8" s="18">
        <v>0</v>
      </c>
      <c r="M8" s="18">
        <v>0</v>
      </c>
      <c r="N8" s="17">
        <v>710</v>
      </c>
    </row>
    <row r="9" spans="1:14" x14ac:dyDescent="0.3">
      <c r="A9" s="7">
        <v>45723</v>
      </c>
      <c r="B9" s="14">
        <f>1275+2417.5</f>
        <v>3692.5</v>
      </c>
      <c r="C9" s="9">
        <f t="shared" si="0"/>
        <v>3356.8181818181815</v>
      </c>
      <c r="D9" s="9">
        <f t="shared" si="1"/>
        <v>335.68181818181819</v>
      </c>
      <c r="E9" s="14">
        <f>1249+9083</f>
        <v>10332</v>
      </c>
      <c r="F9" s="9">
        <f t="shared" si="2"/>
        <v>9392.7272727272721</v>
      </c>
      <c r="G9" s="9">
        <f t="shared" si="3"/>
        <v>939.27272727272725</v>
      </c>
      <c r="H9" s="14">
        <f>292.5+2211.5</f>
        <v>2504</v>
      </c>
      <c r="I9" s="14">
        <f>2231.5+9289</f>
        <v>11520.5</v>
      </c>
      <c r="J9" s="9">
        <v>0</v>
      </c>
      <c r="K9" s="18">
        <v>0</v>
      </c>
      <c r="L9" s="18">
        <v>0</v>
      </c>
      <c r="M9" s="18">
        <v>0</v>
      </c>
      <c r="N9" s="17">
        <v>720</v>
      </c>
    </row>
    <row r="10" spans="1:14" x14ac:dyDescent="0.3">
      <c r="A10" s="7">
        <v>45724</v>
      </c>
      <c r="B10" s="14">
        <f>145+3385</f>
        <v>3530</v>
      </c>
      <c r="C10" s="9">
        <f t="shared" si="0"/>
        <v>3209.090909090909</v>
      </c>
      <c r="D10" s="9">
        <f t="shared" si="1"/>
        <v>320.90909090909093</v>
      </c>
      <c r="E10" s="14">
        <f>400+10323.5</f>
        <v>10723.5</v>
      </c>
      <c r="F10" s="9">
        <f t="shared" si="2"/>
        <v>9748.6363636363621</v>
      </c>
      <c r="G10" s="9">
        <f t="shared" si="3"/>
        <v>974.86363636363626</v>
      </c>
      <c r="H10" s="14">
        <f>545+2455</f>
        <v>3000</v>
      </c>
      <c r="I10" s="14">
        <f>11253.5</f>
        <v>11253.5</v>
      </c>
      <c r="J10" s="9">
        <v>0</v>
      </c>
      <c r="K10" s="18">
        <v>0</v>
      </c>
      <c r="L10" s="18">
        <v>0</v>
      </c>
      <c r="M10" s="17">
        <v>409</v>
      </c>
      <c r="N10" s="17">
        <v>1055</v>
      </c>
    </row>
    <row r="11" spans="1:14" x14ac:dyDescent="0.3">
      <c r="A11" s="7">
        <v>45725</v>
      </c>
      <c r="B11" s="14">
        <v>1795</v>
      </c>
      <c r="C11" s="9">
        <f t="shared" si="0"/>
        <v>1631.8181818181818</v>
      </c>
      <c r="D11" s="9">
        <f t="shared" si="1"/>
        <v>163.18181818181819</v>
      </c>
      <c r="E11" s="14">
        <v>10429.5</v>
      </c>
      <c r="F11" s="9">
        <f t="shared" si="2"/>
        <v>9481.363636363636</v>
      </c>
      <c r="G11" s="9">
        <f t="shared" si="3"/>
        <v>948.13636363636363</v>
      </c>
      <c r="H11" s="14">
        <v>2859</v>
      </c>
      <c r="I11" s="14">
        <v>9220.5</v>
      </c>
      <c r="J11" s="14">
        <v>145</v>
      </c>
      <c r="K11" s="17">
        <v>437</v>
      </c>
      <c r="L11" s="18">
        <v>0</v>
      </c>
      <c r="M11" s="17">
        <v>92</v>
      </c>
      <c r="N11" s="17">
        <v>135</v>
      </c>
    </row>
    <row r="12" spans="1:14" x14ac:dyDescent="0.3">
      <c r="A12" s="7">
        <v>45726</v>
      </c>
      <c r="B12" s="14">
        <v>3115</v>
      </c>
      <c r="C12" s="9">
        <f t="shared" si="0"/>
        <v>2831.8181818181815</v>
      </c>
      <c r="D12" s="9">
        <f t="shared" si="1"/>
        <v>283.18181818181819</v>
      </c>
      <c r="E12" s="14">
        <f>120+11333</f>
        <v>11453</v>
      </c>
      <c r="F12" s="9">
        <f t="shared" si="2"/>
        <v>10411.81818181818</v>
      </c>
      <c r="G12" s="9">
        <f t="shared" si="3"/>
        <v>1041.181818181818</v>
      </c>
      <c r="H12" s="14">
        <v>4054</v>
      </c>
      <c r="I12" s="14">
        <f>120+10394-79</f>
        <v>10435</v>
      </c>
      <c r="J12" s="14">
        <v>79</v>
      </c>
      <c r="K12" s="18">
        <v>0</v>
      </c>
      <c r="L12" s="18">
        <v>0</v>
      </c>
      <c r="M12" s="18">
        <v>0</v>
      </c>
      <c r="N12" s="18">
        <v>0</v>
      </c>
    </row>
    <row r="13" spans="1:14" x14ac:dyDescent="0.3">
      <c r="A13" s="7">
        <v>45727</v>
      </c>
      <c r="B13" s="14">
        <v>3905</v>
      </c>
      <c r="C13" s="9">
        <f t="shared" si="0"/>
        <v>3549.9999999999995</v>
      </c>
      <c r="D13" s="9">
        <f t="shared" si="1"/>
        <v>355</v>
      </c>
      <c r="E13" s="14">
        <v>14906</v>
      </c>
      <c r="F13" s="9">
        <f t="shared" si="2"/>
        <v>13550.90909090909</v>
      </c>
      <c r="G13" s="9">
        <f t="shared" si="3"/>
        <v>1355.090909090909</v>
      </c>
      <c r="H13" s="14">
        <v>3772.5</v>
      </c>
      <c r="I13" s="14">
        <v>15038.5</v>
      </c>
      <c r="J13" s="9">
        <v>0</v>
      </c>
      <c r="K13" s="18">
        <v>0</v>
      </c>
      <c r="L13" s="18">
        <v>0</v>
      </c>
      <c r="M13" s="18">
        <v>0</v>
      </c>
      <c r="N13" s="18">
        <v>0</v>
      </c>
    </row>
    <row r="14" spans="1:14" x14ac:dyDescent="0.3">
      <c r="A14" s="7">
        <v>45728</v>
      </c>
      <c r="B14" s="14">
        <v>1912.5</v>
      </c>
      <c r="C14" s="9">
        <f t="shared" si="0"/>
        <v>1738.6363636363635</v>
      </c>
      <c r="D14" s="9">
        <f t="shared" si="1"/>
        <v>173.86363636363637</v>
      </c>
      <c r="E14" s="14">
        <v>12703</v>
      </c>
      <c r="F14" s="9">
        <f t="shared" si="2"/>
        <v>11548.181818181818</v>
      </c>
      <c r="G14" s="9">
        <f t="shared" si="3"/>
        <v>1154.8181818181818</v>
      </c>
      <c r="H14" s="14">
        <v>2029.5</v>
      </c>
      <c r="I14" s="14">
        <v>12586</v>
      </c>
      <c r="J14" s="9">
        <v>0</v>
      </c>
      <c r="K14" s="18">
        <v>0</v>
      </c>
      <c r="L14" s="18">
        <v>0</v>
      </c>
      <c r="M14" s="17">
        <v>597</v>
      </c>
      <c r="N14" s="17">
        <v>155</v>
      </c>
    </row>
    <row r="15" spans="1:14" x14ac:dyDescent="0.3">
      <c r="A15" s="7">
        <v>45729</v>
      </c>
      <c r="B15" s="14">
        <v>2965</v>
      </c>
      <c r="C15" s="9">
        <f t="shared" si="0"/>
        <v>2695.454545454545</v>
      </c>
      <c r="D15" s="9">
        <f t="shared" si="1"/>
        <v>269.5454545454545</v>
      </c>
      <c r="E15" s="14">
        <v>15025.5</v>
      </c>
      <c r="F15" s="9">
        <f t="shared" si="2"/>
        <v>13659.545454545454</v>
      </c>
      <c r="G15" s="9">
        <f t="shared" si="3"/>
        <v>1365.9545454545455</v>
      </c>
      <c r="H15" s="14">
        <v>3890.5</v>
      </c>
      <c r="I15" s="14">
        <v>14100</v>
      </c>
      <c r="J15" s="9">
        <v>0</v>
      </c>
      <c r="K15" s="18">
        <v>0</v>
      </c>
      <c r="L15" s="17">
        <v>285</v>
      </c>
      <c r="M15" s="17">
        <v>300</v>
      </c>
      <c r="N15" s="18">
        <v>0</v>
      </c>
    </row>
    <row r="16" spans="1:14" x14ac:dyDescent="0.3">
      <c r="A16" s="7">
        <v>45730</v>
      </c>
      <c r="B16" s="14">
        <f>3262.5+145</f>
        <v>3407.5</v>
      </c>
      <c r="C16" s="9">
        <f t="shared" si="0"/>
        <v>3097.7272727272725</v>
      </c>
      <c r="D16" s="9">
        <f t="shared" si="1"/>
        <v>309.77272727272725</v>
      </c>
      <c r="E16" s="14">
        <f>16174+60</f>
        <v>16234</v>
      </c>
      <c r="F16" s="9">
        <f t="shared" si="2"/>
        <v>14758.181818181816</v>
      </c>
      <c r="G16" s="9">
        <f t="shared" si="3"/>
        <v>1475.8181818181818</v>
      </c>
      <c r="H16" s="14">
        <v>2866</v>
      </c>
      <c r="I16" s="14">
        <f>16000.5+205</f>
        <v>16205.5</v>
      </c>
      <c r="J16" s="14">
        <v>570</v>
      </c>
      <c r="K16" s="17">
        <v>90</v>
      </c>
      <c r="L16" s="18">
        <v>0</v>
      </c>
      <c r="M16" s="17">
        <v>82</v>
      </c>
      <c r="N16" s="18">
        <v>0</v>
      </c>
    </row>
    <row r="17" spans="1:14" x14ac:dyDescent="0.3">
      <c r="A17" s="7">
        <v>45731</v>
      </c>
      <c r="B17" s="14">
        <v>2750</v>
      </c>
      <c r="C17" s="9">
        <f t="shared" si="0"/>
        <v>2500</v>
      </c>
      <c r="D17" s="9">
        <f t="shared" si="1"/>
        <v>250</v>
      </c>
      <c r="E17" s="14">
        <v>17249</v>
      </c>
      <c r="F17" s="9">
        <f t="shared" si="2"/>
        <v>15680.90909090909</v>
      </c>
      <c r="G17" s="9">
        <f t="shared" si="3"/>
        <v>1568.090909090909</v>
      </c>
      <c r="H17" s="14">
        <v>3510</v>
      </c>
      <c r="I17" s="14">
        <v>16489</v>
      </c>
      <c r="J17" s="9">
        <v>0</v>
      </c>
      <c r="K17" s="18">
        <v>0</v>
      </c>
      <c r="L17" s="17">
        <v>192.5</v>
      </c>
      <c r="M17" s="17">
        <v>92</v>
      </c>
      <c r="N17" s="18">
        <v>0</v>
      </c>
    </row>
    <row r="18" spans="1:14" x14ac:dyDescent="0.3">
      <c r="A18" s="7">
        <v>45732</v>
      </c>
      <c r="B18" s="14">
        <f>310+2585</f>
        <v>2895</v>
      </c>
      <c r="C18" s="9">
        <f t="shared" si="0"/>
        <v>2631.8181818181815</v>
      </c>
      <c r="D18" s="9">
        <f t="shared" si="1"/>
        <v>263.18181818181819</v>
      </c>
      <c r="E18" s="14">
        <f>1213+17435</f>
        <v>18648</v>
      </c>
      <c r="F18" s="9">
        <f t="shared" si="2"/>
        <v>16952.727272727272</v>
      </c>
      <c r="G18" s="9">
        <f t="shared" si="3"/>
        <v>1695.2727272727273</v>
      </c>
      <c r="H18" s="14">
        <f>170+2812</f>
        <v>2982</v>
      </c>
      <c r="I18" s="14">
        <f>1353+17018</f>
        <v>18371</v>
      </c>
      <c r="J18" s="14">
        <v>190</v>
      </c>
      <c r="K18" s="18">
        <v>0</v>
      </c>
      <c r="L18" s="18">
        <v>0</v>
      </c>
      <c r="M18" s="17">
        <v>205</v>
      </c>
      <c r="N18" s="17">
        <v>340</v>
      </c>
    </row>
    <row r="19" spans="1:14" x14ac:dyDescent="0.3">
      <c r="A19" s="7">
        <v>45733</v>
      </c>
      <c r="B19" s="14">
        <v>2070</v>
      </c>
      <c r="C19" s="9">
        <f t="shared" si="0"/>
        <v>1881.8181818181818</v>
      </c>
      <c r="D19" s="9">
        <f t="shared" si="1"/>
        <v>188.18181818181819</v>
      </c>
      <c r="E19" s="14">
        <v>17831</v>
      </c>
      <c r="F19" s="9">
        <f t="shared" si="2"/>
        <v>16209.999999999998</v>
      </c>
      <c r="G19" s="9">
        <f t="shared" si="3"/>
        <v>1621</v>
      </c>
      <c r="H19" s="14">
        <v>2832</v>
      </c>
      <c r="I19" s="14">
        <v>17069</v>
      </c>
      <c r="J19" s="9">
        <v>0</v>
      </c>
      <c r="K19" s="18">
        <v>0</v>
      </c>
      <c r="L19" s="18">
        <v>0</v>
      </c>
      <c r="M19" s="17">
        <v>250</v>
      </c>
      <c r="N19" s="17">
        <v>1010</v>
      </c>
    </row>
    <row r="20" spans="1:14" x14ac:dyDescent="0.3">
      <c r="A20" s="7">
        <v>45734</v>
      </c>
      <c r="B20" s="14">
        <v>2565</v>
      </c>
      <c r="C20" s="9">
        <f t="shared" si="0"/>
        <v>2331.8181818181815</v>
      </c>
      <c r="D20" s="9">
        <f t="shared" si="1"/>
        <v>233.18181818181816</v>
      </c>
      <c r="E20" s="14">
        <v>11422.5</v>
      </c>
      <c r="F20" s="9">
        <f t="shared" si="2"/>
        <v>10384.090909090908</v>
      </c>
      <c r="G20" s="9">
        <f t="shared" si="3"/>
        <v>1038.4090909090908</v>
      </c>
      <c r="H20" s="14">
        <v>1639.5</v>
      </c>
      <c r="I20" s="14">
        <v>12348</v>
      </c>
      <c r="J20" s="9">
        <v>0</v>
      </c>
      <c r="K20" s="18">
        <v>0</v>
      </c>
      <c r="L20" s="18">
        <v>0</v>
      </c>
      <c r="M20" s="17">
        <v>214</v>
      </c>
      <c r="N20" s="17">
        <v>330</v>
      </c>
    </row>
    <row r="21" spans="1:14" x14ac:dyDescent="0.3">
      <c r="A21" s="7">
        <v>45735</v>
      </c>
      <c r="B21" s="14">
        <v>3445</v>
      </c>
      <c r="C21" s="9">
        <f t="shared" si="0"/>
        <v>3131.8181818181815</v>
      </c>
      <c r="D21" s="9">
        <f t="shared" si="1"/>
        <v>313.18181818181819</v>
      </c>
      <c r="E21" s="14">
        <v>9336</v>
      </c>
      <c r="F21" s="9">
        <f t="shared" si="2"/>
        <v>8487.2727272727261</v>
      </c>
      <c r="G21" s="9">
        <f t="shared" si="3"/>
        <v>848.72727272727263</v>
      </c>
      <c r="H21" s="14">
        <v>3222</v>
      </c>
      <c r="I21" s="14">
        <v>8883</v>
      </c>
      <c r="J21" s="14">
        <v>676</v>
      </c>
      <c r="K21" s="18">
        <v>0</v>
      </c>
      <c r="L21" s="18">
        <v>0</v>
      </c>
      <c r="M21" s="17">
        <v>172</v>
      </c>
      <c r="N21" s="17">
        <v>355</v>
      </c>
    </row>
    <row r="22" spans="1:14" x14ac:dyDescent="0.3">
      <c r="A22" s="7">
        <v>45736</v>
      </c>
      <c r="B22" s="14">
        <v>3317.5</v>
      </c>
      <c r="C22" s="9">
        <f t="shared" si="0"/>
        <v>3015.9090909090905</v>
      </c>
      <c r="D22" s="9">
        <f t="shared" si="1"/>
        <v>301.59090909090907</v>
      </c>
      <c r="E22" s="14">
        <v>9624</v>
      </c>
      <c r="F22" s="9">
        <f t="shared" si="2"/>
        <v>8749.0909090909081</v>
      </c>
      <c r="G22" s="9">
        <f t="shared" si="3"/>
        <v>874.90909090909088</v>
      </c>
      <c r="H22" s="14">
        <v>2985.5</v>
      </c>
      <c r="I22" s="14">
        <v>9956</v>
      </c>
      <c r="J22" s="9">
        <v>0</v>
      </c>
      <c r="K22" s="18">
        <v>0</v>
      </c>
      <c r="L22" s="17">
        <v>172.5</v>
      </c>
      <c r="M22" s="17">
        <v>447</v>
      </c>
      <c r="N22" s="18">
        <v>0</v>
      </c>
    </row>
    <row r="23" spans="1:14" x14ac:dyDescent="0.3">
      <c r="A23" s="7">
        <v>45737</v>
      </c>
      <c r="B23" s="14">
        <v>2405</v>
      </c>
      <c r="C23" s="9">
        <f t="shared" si="0"/>
        <v>2186.363636363636</v>
      </c>
      <c r="D23" s="9">
        <f t="shared" si="1"/>
        <v>218.63636363636363</v>
      </c>
      <c r="E23" s="14">
        <f>12407.5+85</f>
        <v>12492.5</v>
      </c>
      <c r="F23" s="9">
        <f t="shared" si="2"/>
        <v>11356.81818181818</v>
      </c>
      <c r="G23" s="9">
        <f t="shared" si="3"/>
        <v>1135.681818181818</v>
      </c>
      <c r="H23" s="14">
        <f>85+2944</f>
        <v>3029</v>
      </c>
      <c r="I23" s="14">
        <f>11868.5</f>
        <v>11868.5</v>
      </c>
      <c r="J23" s="9">
        <v>0</v>
      </c>
      <c r="K23" s="18">
        <v>0</v>
      </c>
      <c r="L23" s="17">
        <v>285</v>
      </c>
      <c r="M23" s="17">
        <v>215</v>
      </c>
      <c r="N23" s="17">
        <v>135</v>
      </c>
    </row>
    <row r="24" spans="1:14" x14ac:dyDescent="0.3">
      <c r="A24" s="7">
        <v>45738</v>
      </c>
      <c r="B24" s="14">
        <v>4812.5</v>
      </c>
      <c r="C24" s="9">
        <f t="shared" si="0"/>
        <v>4375</v>
      </c>
      <c r="D24" s="9">
        <f t="shared" si="1"/>
        <v>437.5</v>
      </c>
      <c r="E24" s="14">
        <v>25242</v>
      </c>
      <c r="F24" s="9">
        <f t="shared" si="2"/>
        <v>22947.272727272724</v>
      </c>
      <c r="G24" s="9">
        <f t="shared" si="3"/>
        <v>2294.7272727272725</v>
      </c>
      <c r="H24" s="14">
        <v>5929.5</v>
      </c>
      <c r="I24" s="14">
        <v>23681</v>
      </c>
      <c r="J24" s="14">
        <v>444</v>
      </c>
      <c r="K24" s="17">
        <v>477</v>
      </c>
      <c r="L24" s="17">
        <v>182.5</v>
      </c>
      <c r="M24" s="17">
        <v>320</v>
      </c>
      <c r="N24" s="17">
        <v>355</v>
      </c>
    </row>
    <row r="25" spans="1:14" x14ac:dyDescent="0.3">
      <c r="A25" s="7">
        <v>45739</v>
      </c>
      <c r="B25" s="14">
        <f>3515</f>
        <v>3515</v>
      </c>
      <c r="C25" s="9">
        <f t="shared" si="0"/>
        <v>3195.454545454545</v>
      </c>
      <c r="D25" s="9">
        <f t="shared" si="1"/>
        <v>319.5454545454545</v>
      </c>
      <c r="E25" s="14">
        <f>15748+210</f>
        <v>15958</v>
      </c>
      <c r="F25" s="9">
        <f t="shared" si="2"/>
        <v>14507.272727272726</v>
      </c>
      <c r="G25" s="9">
        <f t="shared" si="3"/>
        <v>1450.7272727272727</v>
      </c>
      <c r="H25" s="14">
        <v>3622</v>
      </c>
      <c r="I25" s="14">
        <f>15252+210</f>
        <v>15462</v>
      </c>
      <c r="J25" s="14">
        <v>389</v>
      </c>
      <c r="K25" s="17">
        <v>400</v>
      </c>
      <c r="L25" s="17">
        <v>70</v>
      </c>
      <c r="M25" s="17">
        <v>444</v>
      </c>
      <c r="N25" s="17">
        <v>450</v>
      </c>
    </row>
    <row r="26" spans="1:14" x14ac:dyDescent="0.3">
      <c r="A26" s="7">
        <v>45740</v>
      </c>
      <c r="B26" s="14">
        <v>2510</v>
      </c>
      <c r="C26" s="9">
        <f t="shared" si="0"/>
        <v>2281.8181818181815</v>
      </c>
      <c r="D26" s="9">
        <f t="shared" si="1"/>
        <v>228.18181818181816</v>
      </c>
      <c r="E26" s="14">
        <v>12970</v>
      </c>
      <c r="F26" s="9">
        <f t="shared" si="2"/>
        <v>11790.90909090909</v>
      </c>
      <c r="G26" s="9">
        <f t="shared" si="3"/>
        <v>1179.090909090909</v>
      </c>
      <c r="H26" s="14">
        <v>3550</v>
      </c>
      <c r="I26" s="14">
        <v>11930</v>
      </c>
      <c r="J26" s="9">
        <v>0</v>
      </c>
      <c r="K26" s="18">
        <v>0</v>
      </c>
      <c r="L26" s="17">
        <v>320</v>
      </c>
      <c r="M26" s="18">
        <v>0</v>
      </c>
      <c r="N26" s="18">
        <v>0</v>
      </c>
    </row>
    <row r="27" spans="1:14" x14ac:dyDescent="0.3">
      <c r="A27" s="7">
        <v>45741</v>
      </c>
      <c r="B27" s="14">
        <v>2190</v>
      </c>
      <c r="C27" s="9">
        <f t="shared" ref="C27:C29" si="4">B27/1.1</f>
        <v>1990.9090909090908</v>
      </c>
      <c r="D27" s="9">
        <f t="shared" ref="D27:D29" si="5">C27*0.1</f>
        <v>199.09090909090909</v>
      </c>
      <c r="E27" s="14">
        <v>14430</v>
      </c>
      <c r="F27" s="9">
        <f t="shared" ref="F27:F29" si="6">E27/1.1</f>
        <v>13118.181818181818</v>
      </c>
      <c r="G27" s="9">
        <f t="shared" ref="G27:G29" si="7">F27*0.1</f>
        <v>1311.818181818182</v>
      </c>
      <c r="H27" s="14">
        <v>3341</v>
      </c>
      <c r="I27" s="14">
        <v>12892</v>
      </c>
      <c r="J27" s="14">
        <v>387</v>
      </c>
      <c r="K27" s="18">
        <v>0</v>
      </c>
      <c r="L27" s="17">
        <v>187.5</v>
      </c>
      <c r="M27" s="18">
        <v>0</v>
      </c>
      <c r="N27" s="18">
        <v>0</v>
      </c>
    </row>
    <row r="28" spans="1:14" x14ac:dyDescent="0.3">
      <c r="A28" s="7">
        <v>45742</v>
      </c>
      <c r="B28" s="14">
        <v>2490</v>
      </c>
      <c r="C28" s="9">
        <f t="shared" si="4"/>
        <v>2263.6363636363635</v>
      </c>
      <c r="D28" s="9">
        <f t="shared" si="5"/>
        <v>226.36363636363637</v>
      </c>
      <c r="E28" s="14">
        <v>14746</v>
      </c>
      <c r="F28" s="9">
        <f t="shared" si="6"/>
        <v>13405.454545454544</v>
      </c>
      <c r="G28" s="9">
        <f t="shared" si="7"/>
        <v>1340.5454545454545</v>
      </c>
      <c r="H28" s="14">
        <v>3030</v>
      </c>
      <c r="I28" s="14">
        <v>14071</v>
      </c>
      <c r="J28" s="14">
        <v>135</v>
      </c>
      <c r="K28" s="18">
        <v>0</v>
      </c>
      <c r="L28" s="17">
        <v>650</v>
      </c>
      <c r="M28" s="18">
        <v>0</v>
      </c>
      <c r="N28" s="18">
        <v>0</v>
      </c>
    </row>
    <row r="29" spans="1:14" x14ac:dyDescent="0.3">
      <c r="A29" s="7">
        <v>45743</v>
      </c>
      <c r="B29" s="14">
        <v>4064.99</v>
      </c>
      <c r="C29" s="9">
        <f t="shared" si="4"/>
        <v>3695.4454545454541</v>
      </c>
      <c r="D29" s="9">
        <f t="shared" si="5"/>
        <v>369.54454545454541</v>
      </c>
      <c r="E29" s="14">
        <v>17083.009999999998</v>
      </c>
      <c r="F29" s="9">
        <f t="shared" si="6"/>
        <v>15530.009090909089</v>
      </c>
      <c r="G29" s="9">
        <f t="shared" si="7"/>
        <v>1553.0009090909089</v>
      </c>
      <c r="H29" s="14">
        <v>4173</v>
      </c>
      <c r="I29" s="14">
        <v>16573</v>
      </c>
      <c r="J29" s="14">
        <v>402</v>
      </c>
      <c r="K29" s="17">
        <v>230</v>
      </c>
      <c r="L29" s="17">
        <v>187.5</v>
      </c>
      <c r="M29" s="18">
        <v>0</v>
      </c>
      <c r="N29" s="18">
        <v>0</v>
      </c>
    </row>
    <row r="30" spans="1:14" x14ac:dyDescent="0.3">
      <c r="A30" s="7">
        <v>45744</v>
      </c>
      <c r="B30" s="14">
        <v>4660</v>
      </c>
      <c r="C30" s="9">
        <f t="shared" si="0"/>
        <v>4236.363636363636</v>
      </c>
      <c r="D30" s="9">
        <f t="shared" si="1"/>
        <v>423.63636363636363</v>
      </c>
      <c r="E30" s="14">
        <v>15656</v>
      </c>
      <c r="F30" s="9">
        <f t="shared" si="2"/>
        <v>14232.727272727272</v>
      </c>
      <c r="G30" s="9">
        <f t="shared" si="3"/>
        <v>1423.2727272727273</v>
      </c>
      <c r="H30" s="14">
        <v>5587</v>
      </c>
      <c r="I30" s="14">
        <v>14259</v>
      </c>
      <c r="J30" s="14">
        <v>470</v>
      </c>
      <c r="K30" s="17">
        <v>300</v>
      </c>
      <c r="L30" s="17">
        <v>695</v>
      </c>
      <c r="M30" s="18">
        <v>0</v>
      </c>
      <c r="N30" s="17">
        <v>550</v>
      </c>
    </row>
    <row r="31" spans="1:14" x14ac:dyDescent="0.3">
      <c r="A31" s="7">
        <v>45745</v>
      </c>
      <c r="B31" s="14">
        <f>3115+120</f>
        <v>3235</v>
      </c>
      <c r="C31" s="9">
        <f t="shared" si="0"/>
        <v>2940.9090909090905</v>
      </c>
      <c r="D31" s="9">
        <f t="shared" si="1"/>
        <v>294.09090909090907</v>
      </c>
      <c r="E31" s="14">
        <f>17120+100</f>
        <v>17220</v>
      </c>
      <c r="F31" s="9">
        <f t="shared" si="2"/>
        <v>15654.545454545454</v>
      </c>
      <c r="G31" s="9">
        <f t="shared" si="3"/>
        <v>1565.4545454545455</v>
      </c>
      <c r="H31" s="14">
        <v>4505</v>
      </c>
      <c r="I31" s="14">
        <f>15320+220</f>
        <v>15540</v>
      </c>
      <c r="J31" s="14">
        <v>410</v>
      </c>
      <c r="K31" s="18">
        <v>0</v>
      </c>
      <c r="L31" s="18">
        <v>0</v>
      </c>
      <c r="M31" s="18">
        <v>0</v>
      </c>
      <c r="N31" s="18">
        <v>0</v>
      </c>
    </row>
    <row r="32" spans="1:14" x14ac:dyDescent="0.3">
      <c r="A32" s="7">
        <v>45746</v>
      </c>
      <c r="B32" s="14">
        <v>1890</v>
      </c>
      <c r="C32" s="9">
        <f t="shared" ref="C32:C33" si="8">B32/1.1</f>
        <v>1718.181818181818</v>
      </c>
      <c r="D32" s="9">
        <f t="shared" ref="D32:D33" si="9">C32*0.1</f>
        <v>171.81818181818181</v>
      </c>
      <c r="E32" s="14">
        <v>16705</v>
      </c>
      <c r="F32" s="9">
        <f t="shared" ref="F32:F33" si="10">E32/1.1</f>
        <v>15186.363636363636</v>
      </c>
      <c r="G32" s="9">
        <f t="shared" ref="G32:G33" si="11">F32*0.1</f>
        <v>1518.6363636363637</v>
      </c>
      <c r="H32" s="14">
        <v>4925</v>
      </c>
      <c r="I32" s="14">
        <v>13280</v>
      </c>
      <c r="J32" s="14">
        <v>390</v>
      </c>
      <c r="K32" s="18">
        <v>0</v>
      </c>
      <c r="L32" s="17">
        <v>335</v>
      </c>
      <c r="M32" s="18">
        <v>0</v>
      </c>
      <c r="N32" s="18">
        <v>0</v>
      </c>
    </row>
    <row r="33" spans="1:14" x14ac:dyDescent="0.3">
      <c r="A33" s="7">
        <v>45747</v>
      </c>
      <c r="B33" s="14">
        <v>2110</v>
      </c>
      <c r="C33" s="9">
        <f t="shared" si="8"/>
        <v>1918.181818181818</v>
      </c>
      <c r="D33" s="9">
        <f t="shared" si="9"/>
        <v>191.81818181818181</v>
      </c>
      <c r="E33" s="14">
        <v>19135</v>
      </c>
      <c r="F33" s="9">
        <f t="shared" si="10"/>
        <v>17395.454545454544</v>
      </c>
      <c r="G33" s="9">
        <f t="shared" si="11"/>
        <v>1739.5454545454545</v>
      </c>
      <c r="H33" s="14">
        <v>5060</v>
      </c>
      <c r="I33" s="14">
        <v>15860</v>
      </c>
      <c r="J33" s="14">
        <v>325</v>
      </c>
      <c r="K33" s="17">
        <v>460</v>
      </c>
      <c r="L33" s="18">
        <v>0</v>
      </c>
      <c r="M33" s="18">
        <v>0</v>
      </c>
      <c r="N33" s="18">
        <v>0</v>
      </c>
    </row>
    <row r="34" spans="1:14" x14ac:dyDescent="0.3">
      <c r="B34" s="6">
        <f>SUM(B3:B33)</f>
        <v>89455.930000000008</v>
      </c>
      <c r="C34" s="8">
        <f t="shared" si="0"/>
        <v>81323.572727272724</v>
      </c>
      <c r="D34" s="8">
        <f t="shared" ref="D34" si="12">C34*10/100</f>
        <v>8132.3572727272731</v>
      </c>
      <c r="E34" s="6">
        <f>SUM(E3:E33)</f>
        <v>416993.57</v>
      </c>
      <c r="F34" s="8">
        <f t="shared" si="2"/>
        <v>379085.0636363636</v>
      </c>
      <c r="G34" s="8">
        <f t="shared" ref="G34" si="13">F34*10/100</f>
        <v>37908.506363636356</v>
      </c>
      <c r="H34" s="6">
        <f t="shared" ref="H34:M34" si="14">SUM(H3:H33)</f>
        <v>100352</v>
      </c>
      <c r="I34" s="6">
        <f t="shared" si="14"/>
        <v>400583.5</v>
      </c>
      <c r="J34" s="19">
        <f t="shared" si="14"/>
        <v>5514</v>
      </c>
      <c r="K34" s="19">
        <f t="shared" si="14"/>
        <v>2394</v>
      </c>
      <c r="L34" s="19">
        <f t="shared" si="14"/>
        <v>3635</v>
      </c>
      <c r="M34" s="19">
        <f t="shared" si="14"/>
        <v>3944</v>
      </c>
      <c r="N34" s="19">
        <f>SUM(N3:N33)</f>
        <v>6915</v>
      </c>
    </row>
    <row r="35" spans="1:14" x14ac:dyDescent="0.3">
      <c r="B35" s="5"/>
      <c r="C35" s="5"/>
      <c r="D35" s="5"/>
      <c r="E35" s="5"/>
      <c r="F35" s="5"/>
      <c r="G35" s="5"/>
      <c r="H35" s="5"/>
      <c r="I35" s="5"/>
      <c r="J35" s="5"/>
      <c r="K35" s="20" t="s">
        <v>18</v>
      </c>
      <c r="L35" s="20" t="s">
        <v>19</v>
      </c>
      <c r="M35" s="20" t="s">
        <v>20</v>
      </c>
      <c r="N35" s="20">
        <v>6605</v>
      </c>
    </row>
    <row r="36" spans="1:14" x14ac:dyDescent="0.3">
      <c r="D36" s="5"/>
      <c r="I36" s="5"/>
      <c r="K36" s="23" t="s">
        <v>33</v>
      </c>
      <c r="L36" s="4" t="s">
        <v>21</v>
      </c>
      <c r="M36" s="4" t="s">
        <v>22</v>
      </c>
    </row>
    <row r="37" spans="1:14" x14ac:dyDescent="0.3">
      <c r="K37" s="23">
        <v>2054</v>
      </c>
      <c r="L37" s="22" t="s">
        <v>23</v>
      </c>
      <c r="M37" s="22" t="s">
        <v>24</v>
      </c>
    </row>
    <row r="38" spans="1:14" x14ac:dyDescent="0.3">
      <c r="L38" s="4" t="s">
        <v>25</v>
      </c>
      <c r="M38" s="4" t="s">
        <v>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opLeftCell="A8" workbookViewId="0">
      <selection activeCell="N33" sqref="N33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25.88671875" style="4" bestFit="1" customWidth="1"/>
    <col min="13" max="13" width="17.5546875" style="4" bestFit="1" customWidth="1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45748</v>
      </c>
      <c r="B3" s="14">
        <v>3835</v>
      </c>
      <c r="C3" s="9">
        <f>B3/1.1</f>
        <v>3486.363636363636</v>
      </c>
      <c r="D3" s="9">
        <f>C3*0.1</f>
        <v>348.63636363636363</v>
      </c>
      <c r="E3" s="14">
        <v>20040.5</v>
      </c>
      <c r="F3" s="9">
        <f>E3/1.1</f>
        <v>18218.636363636364</v>
      </c>
      <c r="G3" s="9">
        <f>F3*0.1</f>
        <v>1821.8636363636365</v>
      </c>
      <c r="H3" s="14">
        <v>5995</v>
      </c>
      <c r="I3" s="14">
        <v>17145.5</v>
      </c>
      <c r="J3" s="14">
        <v>735</v>
      </c>
      <c r="K3" s="18">
        <v>0</v>
      </c>
      <c r="L3" s="18">
        <v>0</v>
      </c>
      <c r="M3" s="18">
        <v>0</v>
      </c>
      <c r="N3" s="18">
        <v>0</v>
      </c>
    </row>
    <row r="4" spans="1:14" x14ac:dyDescent="0.3">
      <c r="A4" s="7">
        <v>45749</v>
      </c>
      <c r="B4" s="14">
        <v>1775</v>
      </c>
      <c r="C4" s="9">
        <f t="shared" ref="C4:C33" si="0">B4/1.1</f>
        <v>1613.6363636363635</v>
      </c>
      <c r="D4" s="9">
        <f t="shared" ref="D4:D31" si="1">C4*0.1</f>
        <v>161.36363636363637</v>
      </c>
      <c r="E4" s="14">
        <v>9956.5</v>
      </c>
      <c r="F4" s="9">
        <f t="shared" ref="F4:F33" si="2">E4/1.1</f>
        <v>9051.363636363636</v>
      </c>
      <c r="G4" s="9">
        <f t="shared" ref="G4:G31" si="3">F4*0.1</f>
        <v>905.13636363636363</v>
      </c>
      <c r="H4" s="14">
        <v>2367.5</v>
      </c>
      <c r="I4" s="14">
        <v>9304</v>
      </c>
      <c r="J4" s="14">
        <v>60</v>
      </c>
      <c r="K4" s="18">
        <v>0</v>
      </c>
      <c r="L4" s="18">
        <v>0</v>
      </c>
      <c r="M4" s="17">
        <v>320</v>
      </c>
      <c r="N4" s="18">
        <v>0</v>
      </c>
    </row>
    <row r="5" spans="1:14" x14ac:dyDescent="0.3">
      <c r="A5" s="7">
        <v>45750</v>
      </c>
      <c r="B5" s="14">
        <v>3430</v>
      </c>
      <c r="C5" s="9">
        <f t="shared" si="0"/>
        <v>3118.181818181818</v>
      </c>
      <c r="D5" s="9">
        <f t="shared" si="1"/>
        <v>311.81818181818181</v>
      </c>
      <c r="E5" s="14">
        <v>21633</v>
      </c>
      <c r="F5" s="9">
        <f t="shared" si="2"/>
        <v>19666.363636363636</v>
      </c>
      <c r="G5" s="9">
        <f t="shared" si="3"/>
        <v>1966.6363636363637</v>
      </c>
      <c r="H5" s="14">
        <v>3570</v>
      </c>
      <c r="I5" s="14">
        <v>20838</v>
      </c>
      <c r="J5" s="14">
        <v>655</v>
      </c>
      <c r="K5" s="17">
        <f>550+180+180</f>
        <v>910</v>
      </c>
      <c r="L5" s="17">
        <f>580+175+80+350+275+60</f>
        <v>1520</v>
      </c>
      <c r="M5" s="17">
        <v>230</v>
      </c>
      <c r="N5" s="17">
        <v>605</v>
      </c>
    </row>
    <row r="6" spans="1:14" x14ac:dyDescent="0.3">
      <c r="A6" s="7">
        <v>45751</v>
      </c>
      <c r="B6" s="14">
        <v>6590</v>
      </c>
      <c r="C6" s="9">
        <f t="shared" si="0"/>
        <v>5990.9090909090901</v>
      </c>
      <c r="D6" s="9">
        <f t="shared" si="1"/>
        <v>599.09090909090901</v>
      </c>
      <c r="E6" s="14">
        <f>60+31507</f>
        <v>31567</v>
      </c>
      <c r="F6" s="9">
        <f t="shared" si="2"/>
        <v>28697.272727272724</v>
      </c>
      <c r="G6" s="9">
        <f t="shared" si="3"/>
        <v>2869.7272727272725</v>
      </c>
      <c r="H6" s="14">
        <f>60+5535</f>
        <v>5595</v>
      </c>
      <c r="I6" s="14">
        <v>32172</v>
      </c>
      <c r="J6" s="14">
        <v>390</v>
      </c>
      <c r="K6" s="18">
        <v>0</v>
      </c>
      <c r="L6" s="17">
        <v>225</v>
      </c>
      <c r="M6" s="17">
        <v>380</v>
      </c>
      <c r="N6" s="17">
        <v>360</v>
      </c>
    </row>
    <row r="7" spans="1:14" x14ac:dyDescent="0.3">
      <c r="A7" s="7">
        <v>45752</v>
      </c>
      <c r="B7" s="14">
        <v>6190</v>
      </c>
      <c r="C7" s="9">
        <f t="shared" si="0"/>
        <v>5627.272727272727</v>
      </c>
      <c r="D7" s="9">
        <f t="shared" si="1"/>
        <v>562.72727272727275</v>
      </c>
      <c r="E7" s="14">
        <v>23105</v>
      </c>
      <c r="F7" s="9">
        <f t="shared" si="2"/>
        <v>21004.545454545452</v>
      </c>
      <c r="G7" s="9">
        <f t="shared" si="3"/>
        <v>2100.4545454545455</v>
      </c>
      <c r="H7" s="14">
        <v>5570</v>
      </c>
      <c r="I7" s="14">
        <v>23145</v>
      </c>
      <c r="J7" s="14">
        <v>580</v>
      </c>
      <c r="K7" s="18">
        <v>0</v>
      </c>
      <c r="L7" s="18">
        <v>0</v>
      </c>
      <c r="M7" s="17">
        <v>260</v>
      </c>
      <c r="N7" s="18">
        <v>0</v>
      </c>
    </row>
    <row r="8" spans="1:14" x14ac:dyDescent="0.3">
      <c r="A8" s="7">
        <v>45753</v>
      </c>
      <c r="B8" s="14">
        <v>1945.55</v>
      </c>
      <c r="C8" s="9">
        <f t="shared" si="0"/>
        <v>1768.681818181818</v>
      </c>
      <c r="D8" s="9">
        <f t="shared" si="1"/>
        <v>176.86818181818182</v>
      </c>
      <c r="E8" s="14">
        <v>18659.45</v>
      </c>
      <c r="F8" s="9">
        <f t="shared" si="2"/>
        <v>16963.136363636364</v>
      </c>
      <c r="G8" s="9">
        <f t="shared" si="3"/>
        <v>1696.3136363636365</v>
      </c>
      <c r="H8" s="14">
        <v>3200</v>
      </c>
      <c r="I8" s="14">
        <v>16575</v>
      </c>
      <c r="J8" s="14">
        <v>830</v>
      </c>
      <c r="K8" s="18">
        <v>0</v>
      </c>
      <c r="L8" s="17">
        <f>155+62.5</f>
        <v>217.5</v>
      </c>
      <c r="M8" s="18">
        <v>0</v>
      </c>
      <c r="N8" s="18">
        <v>0</v>
      </c>
    </row>
    <row r="9" spans="1:14" x14ac:dyDescent="0.3">
      <c r="A9" s="7">
        <v>45754</v>
      </c>
      <c r="B9" s="14">
        <v>3132.5</v>
      </c>
      <c r="C9" s="9">
        <f t="shared" si="0"/>
        <v>2847.7272727272725</v>
      </c>
      <c r="D9" s="9">
        <f t="shared" si="1"/>
        <v>284.77272727272725</v>
      </c>
      <c r="E9" s="14">
        <v>9861.5</v>
      </c>
      <c r="F9" s="9">
        <f t="shared" si="2"/>
        <v>8965</v>
      </c>
      <c r="G9" s="9">
        <f t="shared" si="3"/>
        <v>896.5</v>
      </c>
      <c r="H9" s="14">
        <v>1887.5</v>
      </c>
      <c r="I9" s="14">
        <v>11106.5</v>
      </c>
      <c r="J9" s="9">
        <v>0</v>
      </c>
      <c r="K9" s="17">
        <v>280</v>
      </c>
      <c r="L9" s="17">
        <v>110</v>
      </c>
      <c r="M9" s="18">
        <v>0</v>
      </c>
      <c r="N9" s="17">
        <v>920</v>
      </c>
    </row>
    <row r="10" spans="1:14" x14ac:dyDescent="0.3">
      <c r="A10" s="7">
        <v>45755</v>
      </c>
      <c r="B10" s="14">
        <v>3550</v>
      </c>
      <c r="C10" s="9">
        <f t="shared" si="0"/>
        <v>3227.272727272727</v>
      </c>
      <c r="D10" s="9">
        <f t="shared" si="1"/>
        <v>322.72727272727275</v>
      </c>
      <c r="E10" s="14">
        <v>11880</v>
      </c>
      <c r="F10" s="9">
        <f t="shared" si="2"/>
        <v>10800</v>
      </c>
      <c r="G10" s="9">
        <f t="shared" si="3"/>
        <v>1080</v>
      </c>
      <c r="H10" s="14">
        <v>1710</v>
      </c>
      <c r="I10" s="14">
        <v>12970</v>
      </c>
      <c r="J10" s="14">
        <v>185</v>
      </c>
      <c r="K10" s="18">
        <v>0</v>
      </c>
      <c r="L10" s="18">
        <v>0</v>
      </c>
      <c r="M10" s="18">
        <v>0</v>
      </c>
      <c r="N10" s="17">
        <v>565</v>
      </c>
    </row>
    <row r="11" spans="1:14" x14ac:dyDescent="0.3">
      <c r="A11" s="7">
        <v>45756</v>
      </c>
      <c r="B11" s="14">
        <v>3310</v>
      </c>
      <c r="C11" s="9">
        <f t="shared" si="0"/>
        <v>3009.090909090909</v>
      </c>
      <c r="D11" s="9">
        <f t="shared" si="1"/>
        <v>300.90909090909093</v>
      </c>
      <c r="E11" s="14">
        <v>14080</v>
      </c>
      <c r="F11" s="9">
        <f t="shared" si="2"/>
        <v>12799.999999999998</v>
      </c>
      <c r="G11" s="9">
        <f t="shared" si="3"/>
        <v>1280</v>
      </c>
      <c r="H11" s="14">
        <v>2370</v>
      </c>
      <c r="I11" s="14">
        <v>14655</v>
      </c>
      <c r="J11" s="14">
        <v>365</v>
      </c>
      <c r="K11" s="17">
        <v>215</v>
      </c>
      <c r="L11" s="18">
        <v>0</v>
      </c>
      <c r="M11" s="17">
        <v>575</v>
      </c>
      <c r="N11" s="18">
        <v>0</v>
      </c>
    </row>
    <row r="12" spans="1:14" x14ac:dyDescent="0.3">
      <c r="A12" s="7">
        <v>45757</v>
      </c>
      <c r="B12" s="9">
        <v>0</v>
      </c>
      <c r="C12" s="9">
        <f t="shared" si="0"/>
        <v>0</v>
      </c>
      <c r="D12" s="9">
        <f t="shared" si="1"/>
        <v>0</v>
      </c>
      <c r="E12" s="14">
        <v>25950</v>
      </c>
      <c r="F12" s="9">
        <f t="shared" si="2"/>
        <v>23590.909090909088</v>
      </c>
      <c r="G12" s="9">
        <f t="shared" si="3"/>
        <v>2359.090909090909</v>
      </c>
      <c r="H12" s="14">
        <v>5020</v>
      </c>
      <c r="I12" s="14">
        <v>20930</v>
      </c>
      <c r="J12" s="9">
        <v>0</v>
      </c>
      <c r="K12" s="18">
        <v>0</v>
      </c>
      <c r="L12" s="18">
        <v>0</v>
      </c>
      <c r="M12" s="18">
        <v>0</v>
      </c>
      <c r="N12" s="18">
        <v>0</v>
      </c>
    </row>
    <row r="13" spans="1:14" x14ac:dyDescent="0.3">
      <c r="A13" s="7">
        <v>45758</v>
      </c>
      <c r="B13" s="14">
        <v>2310</v>
      </c>
      <c r="C13" s="9">
        <f t="shared" si="0"/>
        <v>2100</v>
      </c>
      <c r="D13" s="9">
        <f t="shared" si="1"/>
        <v>210</v>
      </c>
      <c r="E13" s="14">
        <v>12132.5</v>
      </c>
      <c r="F13" s="9">
        <f t="shared" si="2"/>
        <v>11029.545454545454</v>
      </c>
      <c r="G13" s="9">
        <f t="shared" si="3"/>
        <v>1102.9545454545455</v>
      </c>
      <c r="H13" s="14">
        <v>3905</v>
      </c>
      <c r="I13" s="14">
        <v>9792.5</v>
      </c>
      <c r="J13" s="14">
        <v>120</v>
      </c>
      <c r="K13" s="18">
        <v>0</v>
      </c>
      <c r="L13" s="18">
        <v>0</v>
      </c>
      <c r="M13" s="18">
        <v>0</v>
      </c>
      <c r="N13" s="17">
        <v>625</v>
      </c>
    </row>
    <row r="14" spans="1:14" x14ac:dyDescent="0.3">
      <c r="A14" s="7">
        <v>45759</v>
      </c>
      <c r="B14" s="14">
        <v>3405</v>
      </c>
      <c r="C14" s="9">
        <f t="shared" si="0"/>
        <v>3095.454545454545</v>
      </c>
      <c r="D14" s="9">
        <f t="shared" si="1"/>
        <v>309.5454545454545</v>
      </c>
      <c r="E14" s="14">
        <v>14915</v>
      </c>
      <c r="F14" s="9">
        <f t="shared" si="2"/>
        <v>13559.090909090908</v>
      </c>
      <c r="G14" s="9">
        <f t="shared" si="3"/>
        <v>1355.909090909091</v>
      </c>
      <c r="H14" s="14">
        <v>1310</v>
      </c>
      <c r="I14" s="14">
        <v>16155</v>
      </c>
      <c r="J14" s="14">
        <v>855</v>
      </c>
      <c r="K14" s="18">
        <v>0</v>
      </c>
      <c r="L14" s="18">
        <v>0</v>
      </c>
      <c r="M14" s="18">
        <v>0</v>
      </c>
      <c r="N14" s="18">
        <v>0</v>
      </c>
    </row>
    <row r="15" spans="1:14" x14ac:dyDescent="0.3">
      <c r="A15" s="7">
        <v>45760</v>
      </c>
      <c r="B15" s="14">
        <v>3375</v>
      </c>
      <c r="C15" s="9">
        <f t="shared" si="0"/>
        <v>3068.181818181818</v>
      </c>
      <c r="D15" s="9">
        <f t="shared" si="1"/>
        <v>306.81818181818181</v>
      </c>
      <c r="E15" s="14">
        <v>22090</v>
      </c>
      <c r="F15" s="9">
        <f t="shared" si="2"/>
        <v>20081.81818181818</v>
      </c>
      <c r="G15" s="9">
        <f t="shared" si="3"/>
        <v>2008.181818181818</v>
      </c>
      <c r="H15" s="14">
        <v>3295</v>
      </c>
      <c r="I15" s="14">
        <v>22170</v>
      </c>
      <c r="J15" s="9">
        <v>0</v>
      </c>
      <c r="K15" s="18">
        <v>0</v>
      </c>
      <c r="L15" s="17">
        <v>100</v>
      </c>
      <c r="M15" s="18">
        <v>0</v>
      </c>
      <c r="N15" s="18">
        <v>0</v>
      </c>
    </row>
    <row r="16" spans="1:14" x14ac:dyDescent="0.3">
      <c r="A16" s="7">
        <v>45761</v>
      </c>
      <c r="B16" s="14">
        <v>3140</v>
      </c>
      <c r="C16" s="9">
        <f t="shared" si="0"/>
        <v>2854.5454545454545</v>
      </c>
      <c r="D16" s="9">
        <f t="shared" si="1"/>
        <v>285.45454545454544</v>
      </c>
      <c r="E16" s="14">
        <v>16539</v>
      </c>
      <c r="F16" s="9">
        <f t="shared" si="2"/>
        <v>15035.454545454544</v>
      </c>
      <c r="G16" s="9">
        <f t="shared" si="3"/>
        <v>1503.5454545454545</v>
      </c>
      <c r="H16" s="14">
        <v>4055</v>
      </c>
      <c r="I16" s="14">
        <v>15384</v>
      </c>
      <c r="J16" s="14">
        <v>240</v>
      </c>
      <c r="K16" s="18">
        <v>0</v>
      </c>
      <c r="L16" s="18">
        <v>0</v>
      </c>
      <c r="M16" s="17">
        <v>80</v>
      </c>
      <c r="N16" s="18">
        <v>0</v>
      </c>
    </row>
    <row r="17" spans="1:14" x14ac:dyDescent="0.3">
      <c r="A17" s="7">
        <v>45762</v>
      </c>
      <c r="B17" s="14">
        <v>2290</v>
      </c>
      <c r="C17" s="9">
        <f t="shared" si="0"/>
        <v>2081.8181818181815</v>
      </c>
      <c r="D17" s="9">
        <f t="shared" si="1"/>
        <v>208.18181818181816</v>
      </c>
      <c r="E17" s="14">
        <v>14340</v>
      </c>
      <c r="F17" s="9">
        <f t="shared" si="2"/>
        <v>13036.363636363636</v>
      </c>
      <c r="G17" s="9">
        <f t="shared" si="3"/>
        <v>1303.6363636363637</v>
      </c>
      <c r="H17" s="14">
        <v>3090</v>
      </c>
      <c r="I17" s="14">
        <v>12297.5</v>
      </c>
      <c r="J17" s="14">
        <v>1242.5</v>
      </c>
      <c r="K17" s="18">
        <v>0</v>
      </c>
      <c r="L17" s="18">
        <v>0</v>
      </c>
      <c r="M17" s="18">
        <v>0</v>
      </c>
      <c r="N17" s="18">
        <v>0</v>
      </c>
    </row>
    <row r="18" spans="1:14" x14ac:dyDescent="0.3">
      <c r="A18" s="7">
        <v>45763</v>
      </c>
      <c r="B18" s="14">
        <v>4180</v>
      </c>
      <c r="C18" s="9">
        <f t="shared" si="0"/>
        <v>3799.9999999999995</v>
      </c>
      <c r="D18" s="9">
        <f t="shared" si="1"/>
        <v>380</v>
      </c>
      <c r="E18" s="14">
        <v>19170</v>
      </c>
      <c r="F18" s="9">
        <f t="shared" si="2"/>
        <v>17427.272727272724</v>
      </c>
      <c r="G18" s="9">
        <f t="shared" si="3"/>
        <v>1742.7272727272725</v>
      </c>
      <c r="H18" s="14">
        <v>3380</v>
      </c>
      <c r="I18" s="14">
        <v>19020</v>
      </c>
      <c r="J18" s="14">
        <v>950</v>
      </c>
      <c r="K18" s="17">
        <v>200</v>
      </c>
      <c r="L18" s="18">
        <v>0</v>
      </c>
      <c r="M18" s="18">
        <v>0</v>
      </c>
      <c r="N18" s="18">
        <v>0</v>
      </c>
    </row>
    <row r="19" spans="1:14" x14ac:dyDescent="0.3">
      <c r="A19" s="7">
        <v>45764</v>
      </c>
      <c r="B19" s="14">
        <v>4415</v>
      </c>
      <c r="C19" s="9">
        <f t="shared" si="0"/>
        <v>4013.6363636363635</v>
      </c>
      <c r="D19" s="9">
        <f t="shared" si="1"/>
        <v>401.36363636363637</v>
      </c>
      <c r="E19" s="14">
        <v>19065</v>
      </c>
      <c r="F19" s="9">
        <f t="shared" si="2"/>
        <v>17331.81818181818</v>
      </c>
      <c r="G19" s="9">
        <f t="shared" si="3"/>
        <v>1733.181818181818</v>
      </c>
      <c r="H19" s="14">
        <v>4535</v>
      </c>
      <c r="I19" s="14">
        <v>18825</v>
      </c>
      <c r="J19" s="14">
        <v>120</v>
      </c>
      <c r="K19" s="18"/>
      <c r="L19" s="18">
        <v>0</v>
      </c>
      <c r="M19" s="18">
        <v>0</v>
      </c>
      <c r="N19" s="18">
        <v>0</v>
      </c>
    </row>
    <row r="20" spans="1:14" x14ac:dyDescent="0.3">
      <c r="A20" s="7">
        <v>45765</v>
      </c>
      <c r="B20" s="14">
        <v>6085</v>
      </c>
      <c r="C20" s="9">
        <f t="shared" si="0"/>
        <v>5531.8181818181811</v>
      </c>
      <c r="D20" s="9">
        <f t="shared" si="1"/>
        <v>553.18181818181813</v>
      </c>
      <c r="E20" s="14">
        <v>21242.5</v>
      </c>
      <c r="F20" s="9">
        <f t="shared" si="2"/>
        <v>19311.363636363636</v>
      </c>
      <c r="G20" s="9">
        <f t="shared" si="3"/>
        <v>1931.1363636363637</v>
      </c>
      <c r="H20" s="14">
        <v>4945</v>
      </c>
      <c r="I20" s="14">
        <v>21087.5</v>
      </c>
      <c r="J20" s="9">
        <v>0</v>
      </c>
      <c r="K20" s="17">
        <f>280</f>
        <v>280</v>
      </c>
      <c r="L20" s="18">
        <v>0</v>
      </c>
      <c r="M20" s="17">
        <v>340</v>
      </c>
      <c r="N20" s="17">
        <v>1295</v>
      </c>
    </row>
    <row r="21" spans="1:14" x14ac:dyDescent="0.3">
      <c r="A21" s="7">
        <v>45766</v>
      </c>
      <c r="B21" s="14">
        <v>3890</v>
      </c>
      <c r="C21" s="9">
        <f t="shared" si="0"/>
        <v>3536.363636363636</v>
      </c>
      <c r="D21" s="9">
        <f t="shared" si="1"/>
        <v>353.63636363636363</v>
      </c>
      <c r="E21" s="14">
        <v>24032.5</v>
      </c>
      <c r="F21" s="9">
        <f t="shared" si="2"/>
        <v>21847.727272727272</v>
      </c>
      <c r="G21" s="9">
        <f t="shared" si="3"/>
        <v>2184.7727272727275</v>
      </c>
      <c r="H21" s="14">
        <v>3275</v>
      </c>
      <c r="I21" s="14">
        <f>24647.5-310</f>
        <v>24337.5</v>
      </c>
      <c r="J21" s="14">
        <v>310</v>
      </c>
      <c r="K21" s="17">
        <v>275</v>
      </c>
      <c r="L21" s="17">
        <v>60</v>
      </c>
      <c r="M21" s="18">
        <v>0</v>
      </c>
      <c r="N21" s="18">
        <v>0</v>
      </c>
    </row>
    <row r="22" spans="1:14" x14ac:dyDescent="0.3">
      <c r="A22" s="7">
        <v>45767</v>
      </c>
      <c r="B22" s="14">
        <v>6620</v>
      </c>
      <c r="C22" s="9">
        <f t="shared" si="0"/>
        <v>6018.181818181818</v>
      </c>
      <c r="D22" s="9">
        <f t="shared" si="1"/>
        <v>601.81818181818187</v>
      </c>
      <c r="E22" s="14">
        <v>24685</v>
      </c>
      <c r="F22" s="9">
        <f t="shared" si="2"/>
        <v>22440.909090909088</v>
      </c>
      <c r="G22" s="9">
        <f t="shared" si="3"/>
        <v>2244.090909090909</v>
      </c>
      <c r="H22" s="14">
        <v>5680</v>
      </c>
      <c r="I22" s="14">
        <v>25625</v>
      </c>
      <c r="J22" s="9">
        <v>0</v>
      </c>
      <c r="K22" s="17">
        <v>380</v>
      </c>
      <c r="L22" s="18">
        <v>0</v>
      </c>
      <c r="M22" s="18">
        <v>0</v>
      </c>
      <c r="N22" s="18">
        <v>0</v>
      </c>
    </row>
    <row r="23" spans="1:14" x14ac:dyDescent="0.3">
      <c r="A23" s="7">
        <v>45768</v>
      </c>
      <c r="B23" s="14">
        <v>3000</v>
      </c>
      <c r="C23" s="9">
        <f t="shared" si="0"/>
        <v>2727.272727272727</v>
      </c>
      <c r="D23" s="9">
        <f t="shared" si="1"/>
        <v>272.72727272727269</v>
      </c>
      <c r="E23" s="14">
        <v>21296.5</v>
      </c>
      <c r="F23" s="9">
        <f t="shared" si="2"/>
        <v>19360.454545454544</v>
      </c>
      <c r="G23" s="9">
        <f t="shared" si="3"/>
        <v>1936.0454545454545</v>
      </c>
      <c r="H23" s="14">
        <v>4640</v>
      </c>
      <c r="I23" s="14">
        <v>18906.5</v>
      </c>
      <c r="J23" s="14">
        <v>750</v>
      </c>
      <c r="K23" s="18">
        <v>0</v>
      </c>
      <c r="L23" s="18">
        <v>0</v>
      </c>
      <c r="M23" s="17">
        <v>130</v>
      </c>
      <c r="N23" s="18">
        <v>0</v>
      </c>
    </row>
    <row r="24" spans="1:14" x14ac:dyDescent="0.3">
      <c r="A24" s="7">
        <v>45769</v>
      </c>
      <c r="B24" s="14">
        <v>5980</v>
      </c>
      <c r="C24" s="9">
        <f t="shared" si="0"/>
        <v>5436.363636363636</v>
      </c>
      <c r="D24" s="9">
        <f t="shared" si="1"/>
        <v>543.63636363636363</v>
      </c>
      <c r="E24" s="14">
        <v>24061.5</v>
      </c>
      <c r="F24" s="9">
        <f t="shared" si="2"/>
        <v>21874.090909090908</v>
      </c>
      <c r="G24" s="9">
        <f t="shared" si="3"/>
        <v>2187.409090909091</v>
      </c>
      <c r="H24" s="14">
        <v>5924</v>
      </c>
      <c r="I24" s="14">
        <f>23172.5</f>
        <v>23172.5</v>
      </c>
      <c r="J24" s="14">
        <v>490</v>
      </c>
      <c r="K24" s="17">
        <v>200</v>
      </c>
      <c r="L24" s="18">
        <v>0</v>
      </c>
      <c r="M24" s="18">
        <v>0</v>
      </c>
      <c r="N24" s="17">
        <v>455</v>
      </c>
    </row>
    <row r="25" spans="1:14" x14ac:dyDescent="0.3">
      <c r="A25" s="7">
        <v>45770</v>
      </c>
      <c r="B25" s="14">
        <v>4055</v>
      </c>
      <c r="C25" s="9">
        <f t="shared" si="0"/>
        <v>3686.363636363636</v>
      </c>
      <c r="D25" s="9">
        <f t="shared" si="1"/>
        <v>368.63636363636363</v>
      </c>
      <c r="E25" s="14">
        <v>24322.5</v>
      </c>
      <c r="F25" s="9">
        <f t="shared" si="2"/>
        <v>22111.363636363636</v>
      </c>
      <c r="G25" s="9">
        <f t="shared" si="3"/>
        <v>2211.1363636363635</v>
      </c>
      <c r="H25" s="14">
        <v>6070</v>
      </c>
      <c r="I25" s="14">
        <v>21397.5</v>
      </c>
      <c r="J25" s="14">
        <v>910</v>
      </c>
      <c r="K25" s="18">
        <v>0</v>
      </c>
      <c r="L25" s="18">
        <v>0</v>
      </c>
      <c r="M25" s="17">
        <v>330</v>
      </c>
      <c r="N25" s="18">
        <v>0</v>
      </c>
    </row>
    <row r="26" spans="1:14" x14ac:dyDescent="0.3">
      <c r="A26" s="7">
        <v>45771</v>
      </c>
      <c r="B26" s="14">
        <v>2197.5</v>
      </c>
      <c r="C26" s="9">
        <f t="shared" si="0"/>
        <v>1997.7272727272725</v>
      </c>
      <c r="D26" s="9">
        <f t="shared" si="1"/>
        <v>199.77272727272725</v>
      </c>
      <c r="E26" s="14">
        <v>13772</v>
      </c>
      <c r="F26" s="9">
        <f t="shared" si="2"/>
        <v>12519.999999999998</v>
      </c>
      <c r="G26" s="9">
        <f t="shared" si="3"/>
        <v>1252</v>
      </c>
      <c r="H26" s="14">
        <v>1920</v>
      </c>
      <c r="I26" s="14">
        <v>13454.5</v>
      </c>
      <c r="J26" s="14">
        <v>595</v>
      </c>
      <c r="K26" s="18">
        <v>0</v>
      </c>
      <c r="L26" s="18">
        <v>0</v>
      </c>
      <c r="M26" s="18">
        <v>0</v>
      </c>
      <c r="N26" s="18">
        <v>0</v>
      </c>
    </row>
    <row r="27" spans="1:14" x14ac:dyDescent="0.3">
      <c r="A27" s="7">
        <v>45772</v>
      </c>
      <c r="B27" s="14">
        <v>5555</v>
      </c>
      <c r="C27" s="9">
        <f t="shared" si="0"/>
        <v>5050</v>
      </c>
      <c r="D27" s="9">
        <f t="shared" si="1"/>
        <v>505</v>
      </c>
      <c r="E27" s="14">
        <v>23390</v>
      </c>
      <c r="F27" s="9">
        <f t="shared" si="2"/>
        <v>21263.63636363636</v>
      </c>
      <c r="G27" s="9">
        <f t="shared" si="3"/>
        <v>2126.363636363636</v>
      </c>
      <c r="H27" s="14">
        <v>3870</v>
      </c>
      <c r="I27" s="14">
        <v>23640</v>
      </c>
      <c r="J27" s="14">
        <v>1435</v>
      </c>
      <c r="K27" s="17">
        <f>90+80+380+185</f>
        <v>735</v>
      </c>
      <c r="L27" s="17">
        <v>165</v>
      </c>
      <c r="M27" s="17">
        <v>200</v>
      </c>
      <c r="N27" s="18">
        <v>0</v>
      </c>
    </row>
    <row r="28" spans="1:14" x14ac:dyDescent="0.3">
      <c r="A28" s="7">
        <v>45773</v>
      </c>
      <c r="B28" s="14">
        <v>5315</v>
      </c>
      <c r="C28" s="9">
        <f t="shared" si="0"/>
        <v>4831.8181818181811</v>
      </c>
      <c r="D28" s="9">
        <f t="shared" si="1"/>
        <v>483.18181818181813</v>
      </c>
      <c r="E28" s="14">
        <v>25785</v>
      </c>
      <c r="F28" s="9">
        <f t="shared" si="2"/>
        <v>23440.909090909088</v>
      </c>
      <c r="G28" s="9">
        <f t="shared" si="3"/>
        <v>2344.090909090909</v>
      </c>
      <c r="H28" s="14">
        <v>7095</v>
      </c>
      <c r="I28" s="14">
        <v>23230</v>
      </c>
      <c r="J28" s="14">
        <v>360</v>
      </c>
      <c r="K28" s="17">
        <v>400</v>
      </c>
      <c r="L28" s="17">
        <v>90</v>
      </c>
      <c r="M28" s="17">
        <v>560</v>
      </c>
      <c r="N28" s="17">
        <v>415</v>
      </c>
    </row>
    <row r="29" spans="1:14" x14ac:dyDescent="0.3">
      <c r="A29" s="7">
        <v>45774</v>
      </c>
      <c r="B29" s="14">
        <v>3965</v>
      </c>
      <c r="C29" s="9">
        <f t="shared" si="0"/>
        <v>3604.545454545454</v>
      </c>
      <c r="D29" s="9">
        <f t="shared" si="1"/>
        <v>360.45454545454544</v>
      </c>
      <c r="E29" s="14">
        <v>19370</v>
      </c>
      <c r="F29" s="9">
        <f t="shared" si="2"/>
        <v>17609.090909090908</v>
      </c>
      <c r="G29" s="9">
        <f t="shared" si="3"/>
        <v>1760.909090909091</v>
      </c>
      <c r="H29" s="14">
        <v>4640</v>
      </c>
      <c r="I29" s="14">
        <v>18695</v>
      </c>
      <c r="J29" s="9">
        <v>0</v>
      </c>
      <c r="K29" s="18"/>
      <c r="L29" s="18">
        <v>0</v>
      </c>
      <c r="M29" s="18">
        <v>0</v>
      </c>
      <c r="N29" s="18">
        <v>0</v>
      </c>
    </row>
    <row r="30" spans="1:14" x14ac:dyDescent="0.3">
      <c r="A30" s="7">
        <v>45775</v>
      </c>
      <c r="B30" s="14">
        <v>3965</v>
      </c>
      <c r="C30" s="9">
        <f t="shared" si="0"/>
        <v>3604.545454545454</v>
      </c>
      <c r="D30" s="9">
        <f t="shared" si="1"/>
        <v>360.45454545454544</v>
      </c>
      <c r="E30" s="14">
        <v>13360</v>
      </c>
      <c r="F30" s="9">
        <f t="shared" si="2"/>
        <v>12145.454545454544</v>
      </c>
      <c r="G30" s="9">
        <f t="shared" si="3"/>
        <v>1214.5454545454545</v>
      </c>
      <c r="H30" s="14">
        <v>2435</v>
      </c>
      <c r="I30" s="14">
        <v>14655</v>
      </c>
      <c r="J30" s="9">
        <v>0</v>
      </c>
      <c r="K30" s="18">
        <v>0</v>
      </c>
      <c r="L30" s="17">
        <f>455+120</f>
        <v>575</v>
      </c>
      <c r="M30" s="18">
        <v>0</v>
      </c>
      <c r="N30" s="17">
        <v>235</v>
      </c>
    </row>
    <row r="31" spans="1:14" x14ac:dyDescent="0.3">
      <c r="A31" s="7">
        <v>45776</v>
      </c>
      <c r="B31" s="14">
        <v>3275</v>
      </c>
      <c r="C31" s="9">
        <f t="shared" si="0"/>
        <v>2977.272727272727</v>
      </c>
      <c r="D31" s="9">
        <f t="shared" si="1"/>
        <v>297.72727272727269</v>
      </c>
      <c r="E31" s="14">
        <v>14747.5</v>
      </c>
      <c r="F31" s="9">
        <f t="shared" si="2"/>
        <v>13406.81818181818</v>
      </c>
      <c r="G31" s="9">
        <f t="shared" si="3"/>
        <v>1340.681818181818</v>
      </c>
      <c r="H31" s="14">
        <v>2120</v>
      </c>
      <c r="I31" s="14">
        <v>15272.5</v>
      </c>
      <c r="J31" s="14">
        <v>630</v>
      </c>
      <c r="K31" s="17">
        <v>250</v>
      </c>
      <c r="L31" s="17">
        <f>100+110</f>
        <v>210</v>
      </c>
      <c r="M31" s="18">
        <v>0</v>
      </c>
      <c r="N31" s="18">
        <v>0</v>
      </c>
    </row>
    <row r="32" spans="1:14" x14ac:dyDescent="0.3">
      <c r="A32" s="7">
        <v>45777</v>
      </c>
      <c r="B32" s="14">
        <f>720+3195</f>
        <v>3915</v>
      </c>
      <c r="C32" s="9">
        <f>B32/1.1</f>
        <v>3559.090909090909</v>
      </c>
      <c r="D32" s="9">
        <f>C32*0.1</f>
        <v>355.90909090909093</v>
      </c>
      <c r="E32" s="14">
        <f>5240+11265</f>
        <v>16505</v>
      </c>
      <c r="F32" s="9">
        <f>E32/1.1</f>
        <v>15004.545454545454</v>
      </c>
      <c r="G32" s="9">
        <f>F32*0.1</f>
        <v>1500.4545454545455</v>
      </c>
      <c r="H32" s="14">
        <f>1610+2970</f>
        <v>4580</v>
      </c>
      <c r="I32" s="14">
        <f>4230+10405</f>
        <v>14635</v>
      </c>
      <c r="J32" s="14">
        <f>120+580</f>
        <v>700</v>
      </c>
      <c r="K32" s="18">
        <v>0</v>
      </c>
      <c r="L32" s="18">
        <v>0</v>
      </c>
      <c r="M32" s="17">
        <v>240</v>
      </c>
      <c r="N32" s="17">
        <v>505</v>
      </c>
    </row>
    <row r="33" spans="2:14" x14ac:dyDescent="0.3">
      <c r="B33" s="6">
        <f>SUM(B3:B32)</f>
        <v>114690.55</v>
      </c>
      <c r="C33" s="8">
        <f t="shared" si="0"/>
        <v>104264.13636363635</v>
      </c>
      <c r="D33" s="8">
        <f t="shared" ref="D33" si="4">C33*10/100</f>
        <v>10426.413636363635</v>
      </c>
      <c r="E33" s="6">
        <f>SUM(E3:E32)</f>
        <v>571554.44999999995</v>
      </c>
      <c r="F33" s="8">
        <f t="shared" si="2"/>
        <v>519594.95454545447</v>
      </c>
      <c r="G33" s="8">
        <f t="shared" ref="G33" si="5">F33*10/100</f>
        <v>51959.495454545453</v>
      </c>
      <c r="H33" s="6">
        <f t="shared" ref="H33:N33" si="6">SUM(H3:H32)</f>
        <v>118049</v>
      </c>
      <c r="I33" s="6">
        <f t="shared" si="6"/>
        <v>550593.5</v>
      </c>
      <c r="J33" s="19">
        <f t="shared" si="6"/>
        <v>13507.5</v>
      </c>
      <c r="K33" s="19">
        <f t="shared" si="6"/>
        <v>4125</v>
      </c>
      <c r="L33" s="19">
        <f t="shared" si="6"/>
        <v>3272.5</v>
      </c>
      <c r="M33" s="19">
        <f t="shared" si="6"/>
        <v>3645</v>
      </c>
      <c r="N33" s="19">
        <f t="shared" si="6"/>
        <v>5980</v>
      </c>
    </row>
    <row r="34" spans="2:14" x14ac:dyDescent="0.3">
      <c r="B34" s="5"/>
      <c r="C34" s="5"/>
      <c r="D34" s="5"/>
      <c r="E34" s="5"/>
      <c r="F34" s="5"/>
      <c r="G34" s="5"/>
      <c r="H34" s="5"/>
      <c r="I34" s="5"/>
      <c r="J34" s="5"/>
      <c r="K34" s="20"/>
      <c r="L34" s="20" t="s">
        <v>27</v>
      </c>
      <c r="M34" s="20" t="s">
        <v>28</v>
      </c>
      <c r="N34" s="20">
        <v>5450</v>
      </c>
    </row>
    <row r="35" spans="2:14" x14ac:dyDescent="0.3">
      <c r="D35" s="5"/>
      <c r="I35" s="5"/>
      <c r="L35" s="4" t="s">
        <v>29</v>
      </c>
    </row>
    <row r="36" spans="2:14" x14ac:dyDescent="0.3">
      <c r="L36" s="4" t="s">
        <v>30</v>
      </c>
    </row>
    <row r="38" spans="2:14" x14ac:dyDescent="0.3">
      <c r="K38" s="4" t="s">
        <v>31</v>
      </c>
    </row>
    <row r="39" spans="2:14" x14ac:dyDescent="0.3">
      <c r="K39" s="4" t="s">
        <v>32</v>
      </c>
    </row>
  </sheetData>
  <pageMargins left="0.7" right="0.7" top="0.75" bottom="0.75" header="0.3" footer="0.3"/>
  <pageSetup paperSize="9" scale="7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topLeftCell="A22" zoomScaleNormal="100" workbookViewId="0">
      <selection activeCell="B34" sqref="B34:N34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1.109375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10.5546875" style="4" bestFit="1" customWidth="1"/>
    <col min="13" max="13" width="8.88671875" style="4" bestFit="1" customWidth="1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45778</v>
      </c>
      <c r="B3" s="14">
        <v>2045</v>
      </c>
      <c r="C3" s="9">
        <f t="shared" ref="C3:C34" si="0">B3/1.1</f>
        <v>1859.090909090909</v>
      </c>
      <c r="D3" s="9">
        <f t="shared" ref="D3:D31" si="1">C3*0.1</f>
        <v>185.90909090909091</v>
      </c>
      <c r="E3" s="14">
        <v>22105</v>
      </c>
      <c r="F3" s="9">
        <f t="shared" ref="F3" si="2">E3/1.1</f>
        <v>20095.454545454544</v>
      </c>
      <c r="G3" s="9">
        <f t="shared" ref="G3" si="3">F3*0.1</f>
        <v>2009.5454545454545</v>
      </c>
      <c r="H3" s="14">
        <v>6055</v>
      </c>
      <c r="I3" s="14">
        <f>18095-415</f>
        <v>17680</v>
      </c>
      <c r="J3" s="14">
        <v>415</v>
      </c>
      <c r="K3" s="18">
        <v>0</v>
      </c>
      <c r="L3" s="18">
        <v>0</v>
      </c>
      <c r="M3" s="17">
        <v>255</v>
      </c>
      <c r="N3" s="18">
        <v>0</v>
      </c>
    </row>
    <row r="4" spans="1:14" x14ac:dyDescent="0.3">
      <c r="A4" s="7">
        <v>45779</v>
      </c>
      <c r="B4" s="14">
        <v>2360</v>
      </c>
      <c r="C4" s="9">
        <f t="shared" si="0"/>
        <v>2145.4545454545455</v>
      </c>
      <c r="D4" s="9">
        <f t="shared" si="1"/>
        <v>214.54545454545456</v>
      </c>
      <c r="E4" s="14">
        <v>17125</v>
      </c>
      <c r="F4" s="9">
        <f t="shared" ref="F4:F34" si="4">E4/1.1</f>
        <v>15568.181818181816</v>
      </c>
      <c r="G4" s="9">
        <f t="shared" ref="G4:G31" si="5">F4*0.1</f>
        <v>1556.8181818181818</v>
      </c>
      <c r="H4" s="14">
        <v>3610</v>
      </c>
      <c r="I4" s="14">
        <f>15340-240</f>
        <v>15100</v>
      </c>
      <c r="J4" s="14">
        <v>240</v>
      </c>
      <c r="K4" s="18">
        <v>0</v>
      </c>
      <c r="L4" s="18">
        <v>0</v>
      </c>
      <c r="M4" s="18">
        <v>0</v>
      </c>
      <c r="N4" s="17">
        <v>535</v>
      </c>
    </row>
    <row r="5" spans="1:14" x14ac:dyDescent="0.3">
      <c r="A5" s="7">
        <v>45780</v>
      </c>
      <c r="B5" s="14">
        <v>5351.47</v>
      </c>
      <c r="C5" s="9">
        <f t="shared" si="0"/>
        <v>4864.9727272727268</v>
      </c>
      <c r="D5" s="9">
        <f t="shared" si="1"/>
        <v>486.49727272727273</v>
      </c>
      <c r="E5" s="14">
        <v>24851.53</v>
      </c>
      <c r="F5" s="9">
        <f t="shared" si="4"/>
        <v>22592.299999999996</v>
      </c>
      <c r="G5" s="9">
        <f t="shared" si="5"/>
        <v>2259.2299999999996</v>
      </c>
      <c r="H5" s="14">
        <v>4835</v>
      </c>
      <c r="I5" s="14">
        <f>25368-250</f>
        <v>25118</v>
      </c>
      <c r="J5" s="14">
        <v>250</v>
      </c>
      <c r="K5" s="17">
        <v>280</v>
      </c>
      <c r="L5" s="17">
        <v>65</v>
      </c>
      <c r="M5" s="17">
        <v>460</v>
      </c>
      <c r="N5" s="18"/>
    </row>
    <row r="6" spans="1:14" x14ac:dyDescent="0.3">
      <c r="A6" s="7">
        <v>45781</v>
      </c>
      <c r="B6" s="14">
        <v>4454.17</v>
      </c>
      <c r="C6" s="9">
        <f t="shared" si="0"/>
        <v>4049.2454545454543</v>
      </c>
      <c r="D6" s="9">
        <f t="shared" si="1"/>
        <v>404.92454545454547</v>
      </c>
      <c r="E6" s="14">
        <v>24420.83</v>
      </c>
      <c r="F6" s="9">
        <f t="shared" si="4"/>
        <v>22200.754545454547</v>
      </c>
      <c r="G6" s="9">
        <f t="shared" si="5"/>
        <v>2220.0754545454547</v>
      </c>
      <c r="H6" s="14">
        <v>4190</v>
      </c>
      <c r="I6" s="14">
        <v>23740</v>
      </c>
      <c r="J6" s="14">
        <v>945</v>
      </c>
      <c r="K6" s="17">
        <v>150</v>
      </c>
      <c r="L6" s="17">
        <v>65</v>
      </c>
      <c r="M6" s="18">
        <v>0</v>
      </c>
      <c r="N6" s="18">
        <v>0</v>
      </c>
    </row>
    <row r="7" spans="1:14" x14ac:dyDescent="0.3">
      <c r="A7" s="7">
        <v>45782</v>
      </c>
      <c r="B7" s="14">
        <v>4616.29</v>
      </c>
      <c r="C7" s="9">
        <f t="shared" si="0"/>
        <v>4196.6272727272726</v>
      </c>
      <c r="D7" s="9">
        <f t="shared" si="1"/>
        <v>419.6627272727273</v>
      </c>
      <c r="E7" s="14">
        <v>18716.21</v>
      </c>
      <c r="F7" s="9">
        <f t="shared" si="4"/>
        <v>17014.736363636363</v>
      </c>
      <c r="G7" s="9">
        <f t="shared" si="5"/>
        <v>1701.4736363636364</v>
      </c>
      <c r="H7" s="14">
        <v>4430</v>
      </c>
      <c r="I7" s="14">
        <v>18312.5</v>
      </c>
      <c r="J7" s="14">
        <v>590</v>
      </c>
      <c r="K7" s="17">
        <v>180</v>
      </c>
      <c r="L7" s="18">
        <v>0</v>
      </c>
      <c r="M7" s="17">
        <v>490</v>
      </c>
      <c r="N7" s="18">
        <v>0</v>
      </c>
    </row>
    <row r="8" spans="1:14" x14ac:dyDescent="0.3">
      <c r="A8" s="7">
        <v>45783</v>
      </c>
      <c r="B8" s="14">
        <f>3710.01+1750</f>
        <v>5460.01</v>
      </c>
      <c r="C8" s="9">
        <f t="shared" si="0"/>
        <v>4963.6454545454544</v>
      </c>
      <c r="D8" s="9">
        <f t="shared" si="1"/>
        <v>496.36454545454546</v>
      </c>
      <c r="E8" s="14">
        <f>17975+5960</f>
        <v>23935</v>
      </c>
      <c r="F8" s="9">
        <f t="shared" si="4"/>
        <v>21759.090909090908</v>
      </c>
      <c r="G8" s="9">
        <f t="shared" si="5"/>
        <v>2175.909090909091</v>
      </c>
      <c r="H8" s="14">
        <f>3330+1260</f>
        <v>4590</v>
      </c>
      <c r="I8" s="14">
        <f>18070.01+4915</f>
        <v>22985.01</v>
      </c>
      <c r="J8" s="14">
        <f>90+640</f>
        <v>730</v>
      </c>
      <c r="K8" s="18">
        <v>0</v>
      </c>
      <c r="L8" s="17">
        <v>65</v>
      </c>
      <c r="M8" s="18">
        <v>0</v>
      </c>
      <c r="N8" s="17">
        <v>1090</v>
      </c>
    </row>
    <row r="9" spans="1:14" x14ac:dyDescent="0.3">
      <c r="A9" s="7">
        <v>45784</v>
      </c>
      <c r="B9" s="14">
        <v>3270</v>
      </c>
      <c r="C9" s="9">
        <f t="shared" si="0"/>
        <v>2972.7272727272725</v>
      </c>
      <c r="D9" s="9">
        <f t="shared" si="1"/>
        <v>297.27272727272725</v>
      </c>
      <c r="E9" s="14">
        <v>19580</v>
      </c>
      <c r="F9" s="9">
        <f t="shared" si="4"/>
        <v>17800</v>
      </c>
      <c r="G9" s="9">
        <f t="shared" si="5"/>
        <v>1780</v>
      </c>
      <c r="H9" s="14">
        <v>4940</v>
      </c>
      <c r="I9" s="14">
        <v>17010</v>
      </c>
      <c r="J9" s="14">
        <v>900</v>
      </c>
      <c r="K9" s="18">
        <v>0</v>
      </c>
      <c r="L9" s="18">
        <v>0</v>
      </c>
      <c r="M9" s="17">
        <v>385</v>
      </c>
      <c r="N9" s="18">
        <v>0</v>
      </c>
    </row>
    <row r="10" spans="1:14" x14ac:dyDescent="0.3">
      <c r="A10" s="7">
        <v>45785</v>
      </c>
      <c r="B10" s="14">
        <v>3741.14</v>
      </c>
      <c r="C10" s="9">
        <f t="shared" si="0"/>
        <v>3401.0363636363631</v>
      </c>
      <c r="D10" s="9">
        <f t="shared" si="1"/>
        <v>340.10363636363633</v>
      </c>
      <c r="E10" s="14">
        <v>21313.86</v>
      </c>
      <c r="F10" s="9">
        <f t="shared" si="4"/>
        <v>19376.236363636363</v>
      </c>
      <c r="G10" s="9">
        <f t="shared" si="5"/>
        <v>1937.6236363636363</v>
      </c>
      <c r="H10" s="14">
        <v>5980</v>
      </c>
      <c r="I10" s="14">
        <v>17850</v>
      </c>
      <c r="J10" s="14">
        <v>1225</v>
      </c>
      <c r="K10" s="18">
        <v>0</v>
      </c>
      <c r="L10" s="17">
        <v>230</v>
      </c>
      <c r="M10" s="17">
        <v>30</v>
      </c>
      <c r="N10" s="18">
        <v>0</v>
      </c>
    </row>
    <row r="11" spans="1:14" x14ac:dyDescent="0.3">
      <c r="A11" s="7">
        <v>45786</v>
      </c>
      <c r="B11" s="14">
        <v>3150</v>
      </c>
      <c r="C11" s="9">
        <f t="shared" si="0"/>
        <v>2863.6363636363635</v>
      </c>
      <c r="D11" s="9">
        <f t="shared" si="1"/>
        <v>286.36363636363637</v>
      </c>
      <c r="E11" s="14">
        <v>22204</v>
      </c>
      <c r="F11" s="9">
        <f t="shared" si="4"/>
        <v>20185.454545454544</v>
      </c>
      <c r="G11" s="9">
        <f t="shared" si="5"/>
        <v>2018.5454545454545</v>
      </c>
      <c r="H11" s="14">
        <v>5934</v>
      </c>
      <c r="I11" s="14">
        <v>18650</v>
      </c>
      <c r="J11" s="14">
        <v>300</v>
      </c>
      <c r="K11" s="17">
        <v>275</v>
      </c>
      <c r="L11" s="17">
        <f>130+442.5</f>
        <v>572.5</v>
      </c>
      <c r="M11" s="18">
        <v>0</v>
      </c>
      <c r="N11" s="17">
        <v>470</v>
      </c>
    </row>
    <row r="12" spans="1:14" x14ac:dyDescent="0.3">
      <c r="A12" s="7">
        <v>45787</v>
      </c>
      <c r="B12" s="14">
        <v>4880</v>
      </c>
      <c r="C12" s="9">
        <f t="shared" si="0"/>
        <v>4436.363636363636</v>
      </c>
      <c r="D12" s="9">
        <f t="shared" si="1"/>
        <v>443.63636363636363</v>
      </c>
      <c r="E12" s="14">
        <v>17455</v>
      </c>
      <c r="F12" s="9">
        <f t="shared" si="4"/>
        <v>15868.181818181816</v>
      </c>
      <c r="G12" s="9">
        <f t="shared" si="5"/>
        <v>1586.8181818181818</v>
      </c>
      <c r="H12" s="14">
        <v>4005</v>
      </c>
      <c r="I12" s="14">
        <v>18190</v>
      </c>
      <c r="J12" s="14">
        <v>140</v>
      </c>
      <c r="K12" s="18">
        <v>0</v>
      </c>
      <c r="L12" s="17">
        <f>70+65+132.5+90</f>
        <v>357.5</v>
      </c>
      <c r="M12" s="17">
        <v>680</v>
      </c>
      <c r="N12" s="18">
        <v>0</v>
      </c>
    </row>
    <row r="13" spans="1:14" x14ac:dyDescent="0.3">
      <c r="A13" s="7">
        <v>45788</v>
      </c>
      <c r="B13" s="14">
        <v>2970</v>
      </c>
      <c r="C13" s="9">
        <f t="shared" si="0"/>
        <v>2700</v>
      </c>
      <c r="D13" s="9">
        <f t="shared" si="1"/>
        <v>270</v>
      </c>
      <c r="E13" s="14">
        <v>25485</v>
      </c>
      <c r="F13" s="9">
        <f t="shared" si="4"/>
        <v>23168.181818181816</v>
      </c>
      <c r="G13" s="9">
        <f t="shared" si="5"/>
        <v>2316.8181818181815</v>
      </c>
      <c r="H13" s="14">
        <v>4205</v>
      </c>
      <c r="I13" s="14">
        <v>23500</v>
      </c>
      <c r="J13" s="14">
        <v>750</v>
      </c>
      <c r="K13" s="18">
        <v>0</v>
      </c>
      <c r="L13" s="17">
        <v>180</v>
      </c>
      <c r="M13" s="17">
        <v>250</v>
      </c>
      <c r="N13" s="18">
        <v>0</v>
      </c>
    </row>
    <row r="14" spans="1:14" x14ac:dyDescent="0.3">
      <c r="A14" s="7">
        <v>45789</v>
      </c>
      <c r="B14" s="14">
        <v>4627.5</v>
      </c>
      <c r="C14" s="9">
        <f t="shared" si="0"/>
        <v>4206.8181818181811</v>
      </c>
      <c r="D14" s="9">
        <f t="shared" si="1"/>
        <v>420.68181818181813</v>
      </c>
      <c r="E14" s="14">
        <v>19330</v>
      </c>
      <c r="F14" s="9">
        <f t="shared" si="4"/>
        <v>17572.727272727272</v>
      </c>
      <c r="G14" s="9">
        <f t="shared" si="5"/>
        <v>1757.2727272727273</v>
      </c>
      <c r="H14" s="14">
        <v>5545</v>
      </c>
      <c r="I14" s="14">
        <f>17057.5</f>
        <v>17057.5</v>
      </c>
      <c r="J14" s="14">
        <v>540</v>
      </c>
      <c r="K14" s="17">
        <v>245</v>
      </c>
      <c r="L14" s="17">
        <v>65</v>
      </c>
      <c r="M14" s="17">
        <v>180</v>
      </c>
      <c r="N14" s="17">
        <v>815</v>
      </c>
    </row>
    <row r="15" spans="1:14" x14ac:dyDescent="0.3">
      <c r="A15" s="7">
        <v>45790</v>
      </c>
      <c r="B15" s="14">
        <v>6175</v>
      </c>
      <c r="C15" s="9">
        <f t="shared" si="0"/>
        <v>5613.6363636363631</v>
      </c>
      <c r="D15" s="9">
        <f t="shared" si="1"/>
        <v>561.36363636363637</v>
      </c>
      <c r="E15" s="14">
        <v>19405</v>
      </c>
      <c r="F15" s="9">
        <f t="shared" si="4"/>
        <v>17640.909090909088</v>
      </c>
      <c r="G15" s="9">
        <f t="shared" si="5"/>
        <v>1764.090909090909</v>
      </c>
      <c r="H15" s="14">
        <v>5160</v>
      </c>
      <c r="I15" s="14">
        <v>18740</v>
      </c>
      <c r="J15" s="14">
        <v>690</v>
      </c>
      <c r="K15" s="18">
        <v>0</v>
      </c>
      <c r="L15" s="18">
        <v>0</v>
      </c>
      <c r="M15" s="18">
        <v>0</v>
      </c>
      <c r="N15" s="17">
        <v>990</v>
      </c>
    </row>
    <row r="16" spans="1:14" x14ac:dyDescent="0.3">
      <c r="A16" s="7">
        <v>45791</v>
      </c>
      <c r="B16" s="14">
        <v>3600</v>
      </c>
      <c r="C16" s="9">
        <f t="shared" si="0"/>
        <v>3272.7272727272725</v>
      </c>
      <c r="D16" s="9">
        <f t="shared" si="1"/>
        <v>327.27272727272725</v>
      </c>
      <c r="E16" s="14">
        <v>16337.5</v>
      </c>
      <c r="F16" s="9">
        <f t="shared" si="4"/>
        <v>14852.272727272726</v>
      </c>
      <c r="G16" s="9">
        <f t="shared" si="5"/>
        <v>1485.2272727272727</v>
      </c>
      <c r="H16" s="14">
        <v>3982.5</v>
      </c>
      <c r="I16" s="14">
        <v>14700</v>
      </c>
      <c r="J16" s="14">
        <v>1010</v>
      </c>
      <c r="K16" s="17">
        <v>270</v>
      </c>
      <c r="L16" s="17">
        <v>305</v>
      </c>
      <c r="M16" s="17">
        <v>240</v>
      </c>
      <c r="N16" s="17">
        <v>245</v>
      </c>
    </row>
    <row r="17" spans="1:14" x14ac:dyDescent="0.3">
      <c r="A17" s="7">
        <v>45792</v>
      </c>
      <c r="B17" s="14">
        <v>6203.07</v>
      </c>
      <c r="C17" s="9">
        <f t="shared" si="0"/>
        <v>5639.1545454545449</v>
      </c>
      <c r="D17" s="9">
        <f t="shared" si="1"/>
        <v>563.91545454545451</v>
      </c>
      <c r="E17" s="14">
        <v>26055.93</v>
      </c>
      <c r="F17" s="9">
        <f t="shared" si="4"/>
        <v>23687.209090909088</v>
      </c>
      <c r="G17" s="9">
        <f t="shared" si="5"/>
        <v>2368.7209090909087</v>
      </c>
      <c r="H17" s="14">
        <v>5245</v>
      </c>
      <c r="I17" s="14">
        <v>25719</v>
      </c>
      <c r="J17" s="14">
        <v>1295</v>
      </c>
      <c r="K17" s="18">
        <v>0</v>
      </c>
      <c r="L17" s="18">
        <v>0</v>
      </c>
      <c r="M17" s="17">
        <v>30</v>
      </c>
      <c r="N17" s="18">
        <v>0</v>
      </c>
    </row>
    <row r="18" spans="1:14" x14ac:dyDescent="0.3">
      <c r="A18" s="7">
        <v>45793</v>
      </c>
      <c r="B18" s="14">
        <v>3900</v>
      </c>
      <c r="C18" s="9">
        <f t="shared" si="0"/>
        <v>3545.454545454545</v>
      </c>
      <c r="D18" s="9">
        <f t="shared" si="1"/>
        <v>354.5454545454545</v>
      </c>
      <c r="E18" s="14">
        <v>25911.5</v>
      </c>
      <c r="F18" s="9">
        <f t="shared" si="4"/>
        <v>23555.909090909088</v>
      </c>
      <c r="G18" s="9">
        <f t="shared" si="5"/>
        <v>2355.590909090909</v>
      </c>
      <c r="H18" s="14">
        <v>5935</v>
      </c>
      <c r="I18" s="14">
        <v>22016.5</v>
      </c>
      <c r="J18" s="14">
        <v>1260</v>
      </c>
      <c r="K18" s="18">
        <v>0</v>
      </c>
      <c r="L18" s="18">
        <v>0</v>
      </c>
      <c r="M18" s="18">
        <v>0</v>
      </c>
      <c r="N18" s="17">
        <v>600</v>
      </c>
    </row>
    <row r="19" spans="1:14" x14ac:dyDescent="0.3">
      <c r="A19" s="7">
        <v>45794</v>
      </c>
      <c r="B19" s="14">
        <v>2575</v>
      </c>
      <c r="C19" s="9">
        <f t="shared" si="0"/>
        <v>2340.9090909090905</v>
      </c>
      <c r="D19" s="9">
        <f t="shared" si="1"/>
        <v>234.09090909090907</v>
      </c>
      <c r="E19" s="14">
        <v>18574</v>
      </c>
      <c r="F19" s="9">
        <f t="shared" si="4"/>
        <v>16885.454545454544</v>
      </c>
      <c r="G19" s="9">
        <f t="shared" si="5"/>
        <v>1688.5454545454545</v>
      </c>
      <c r="H19" s="14">
        <v>4000</v>
      </c>
      <c r="I19" s="14">
        <v>17149</v>
      </c>
      <c r="J19" s="9">
        <v>0</v>
      </c>
      <c r="K19" s="18">
        <v>0</v>
      </c>
      <c r="L19" s="17">
        <v>75</v>
      </c>
      <c r="M19" s="18">
        <v>0</v>
      </c>
      <c r="N19" s="18">
        <v>0</v>
      </c>
    </row>
    <row r="20" spans="1:14" x14ac:dyDescent="0.3">
      <c r="A20" s="7">
        <v>45795</v>
      </c>
      <c r="B20" s="14">
        <v>4025</v>
      </c>
      <c r="C20" s="9">
        <f t="shared" si="0"/>
        <v>3659.090909090909</v>
      </c>
      <c r="D20" s="9">
        <f t="shared" si="1"/>
        <v>365.90909090909093</v>
      </c>
      <c r="E20" s="14">
        <v>20515</v>
      </c>
      <c r="F20" s="9">
        <f t="shared" si="4"/>
        <v>18650</v>
      </c>
      <c r="G20" s="9">
        <f t="shared" si="5"/>
        <v>1865</v>
      </c>
      <c r="H20" s="14">
        <v>4220</v>
      </c>
      <c r="I20" s="14">
        <f>19915</f>
        <v>19915</v>
      </c>
      <c r="J20" s="14">
        <v>405</v>
      </c>
      <c r="K20" s="17">
        <v>380</v>
      </c>
      <c r="L20" s="17">
        <v>390</v>
      </c>
      <c r="M20" s="17">
        <v>855</v>
      </c>
      <c r="N20" s="18">
        <v>0</v>
      </c>
    </row>
    <row r="21" spans="1:14" x14ac:dyDescent="0.3">
      <c r="A21" s="7">
        <v>45796</v>
      </c>
      <c r="B21" s="14">
        <v>6810</v>
      </c>
      <c r="C21" s="9">
        <f t="shared" si="0"/>
        <v>6190.9090909090901</v>
      </c>
      <c r="D21" s="9">
        <f t="shared" si="1"/>
        <v>619.09090909090901</v>
      </c>
      <c r="E21" s="14">
        <v>37067.5</v>
      </c>
      <c r="F21" s="9">
        <f t="shared" si="4"/>
        <v>33697.727272727272</v>
      </c>
      <c r="G21" s="9">
        <f t="shared" si="5"/>
        <v>3369.7727272727275</v>
      </c>
      <c r="H21" s="14">
        <v>9377.5</v>
      </c>
      <c r="I21" s="14">
        <f>34225-775</f>
        <v>33450</v>
      </c>
      <c r="J21" s="14">
        <v>775</v>
      </c>
      <c r="K21" s="18">
        <v>0</v>
      </c>
      <c r="L21" s="18">
        <v>0</v>
      </c>
      <c r="M21" s="18">
        <v>0</v>
      </c>
      <c r="N21" s="17">
        <v>275</v>
      </c>
    </row>
    <row r="22" spans="1:14" x14ac:dyDescent="0.3">
      <c r="A22" s="7">
        <v>45797</v>
      </c>
      <c r="B22" s="14">
        <v>3000</v>
      </c>
      <c r="C22" s="9">
        <f t="shared" si="0"/>
        <v>2727.272727272727</v>
      </c>
      <c r="D22" s="9">
        <f t="shared" si="1"/>
        <v>272.72727272727269</v>
      </c>
      <c r="E22" s="14">
        <v>16830</v>
      </c>
      <c r="F22" s="9">
        <f t="shared" si="4"/>
        <v>15299.999999999998</v>
      </c>
      <c r="G22" s="9">
        <f t="shared" si="5"/>
        <v>1530</v>
      </c>
      <c r="H22" s="14">
        <v>1830</v>
      </c>
      <c r="I22" s="14">
        <f>17880-415</f>
        <v>17465</v>
      </c>
      <c r="J22" s="14">
        <v>415</v>
      </c>
      <c r="K22" s="18">
        <v>0</v>
      </c>
      <c r="L22" s="18">
        <v>0</v>
      </c>
      <c r="M22" s="17">
        <v>170</v>
      </c>
      <c r="N22" s="17">
        <v>120</v>
      </c>
    </row>
    <row r="23" spans="1:14" x14ac:dyDescent="0.3">
      <c r="A23" s="7">
        <v>45798</v>
      </c>
      <c r="B23" s="14">
        <v>3170</v>
      </c>
      <c r="C23" s="9">
        <f t="shared" si="0"/>
        <v>2881.8181818181815</v>
      </c>
      <c r="D23" s="9">
        <f t="shared" si="1"/>
        <v>288.18181818181819</v>
      </c>
      <c r="E23" s="14">
        <v>18410</v>
      </c>
      <c r="F23" s="9">
        <f t="shared" si="4"/>
        <v>16736.363636363636</v>
      </c>
      <c r="G23" s="9">
        <f t="shared" si="5"/>
        <v>1673.6363636363637</v>
      </c>
      <c r="H23" s="14">
        <v>5380</v>
      </c>
      <c r="I23" s="14">
        <f>15835-865</f>
        <v>14970</v>
      </c>
      <c r="J23" s="14">
        <v>865</v>
      </c>
      <c r="K23" s="18">
        <v>0</v>
      </c>
      <c r="L23" s="17">
        <v>310</v>
      </c>
      <c r="M23" s="17">
        <v>110</v>
      </c>
      <c r="N23" s="17">
        <v>365</v>
      </c>
    </row>
    <row r="24" spans="1:14" x14ac:dyDescent="0.3">
      <c r="A24" s="7">
        <v>45799</v>
      </c>
      <c r="B24" s="14">
        <v>3216.82</v>
      </c>
      <c r="C24" s="9">
        <f t="shared" si="0"/>
        <v>2924.3818181818183</v>
      </c>
      <c r="D24" s="9">
        <f t="shared" si="1"/>
        <v>292.43818181818182</v>
      </c>
      <c r="E24" s="14">
        <v>21608.18</v>
      </c>
      <c r="F24" s="9">
        <f t="shared" si="4"/>
        <v>19643.8</v>
      </c>
      <c r="G24" s="9">
        <f t="shared" si="5"/>
        <v>1964.38</v>
      </c>
      <c r="H24" s="14">
        <v>6475</v>
      </c>
      <c r="I24" s="14">
        <f>18350-995</f>
        <v>17355</v>
      </c>
      <c r="J24" s="14">
        <v>995</v>
      </c>
      <c r="K24" s="18">
        <v>0</v>
      </c>
      <c r="L24" s="17">
        <v>270</v>
      </c>
      <c r="M24" s="18">
        <v>0</v>
      </c>
      <c r="N24" s="18">
        <v>0</v>
      </c>
    </row>
    <row r="25" spans="1:14" x14ac:dyDescent="0.3">
      <c r="A25" s="7">
        <v>45800</v>
      </c>
      <c r="B25" s="14">
        <v>1665.59</v>
      </c>
      <c r="C25" s="9">
        <f t="shared" si="0"/>
        <v>1514.1727272727271</v>
      </c>
      <c r="D25" s="9">
        <f t="shared" si="1"/>
        <v>151.41727272727272</v>
      </c>
      <c r="E25" s="14">
        <v>19379.41</v>
      </c>
      <c r="F25" s="9">
        <f t="shared" si="4"/>
        <v>17617.645454545454</v>
      </c>
      <c r="G25" s="9">
        <f t="shared" si="5"/>
        <v>1761.7645454545454</v>
      </c>
      <c r="H25" s="14">
        <v>4225</v>
      </c>
      <c r="I25" s="14">
        <f>16820-260</f>
        <v>16560</v>
      </c>
      <c r="J25" s="14">
        <v>260</v>
      </c>
      <c r="K25" s="18">
        <v>0</v>
      </c>
      <c r="L25" s="17">
        <v>495</v>
      </c>
      <c r="M25" s="17">
        <v>350</v>
      </c>
      <c r="N25" s="18">
        <v>0</v>
      </c>
    </row>
    <row r="26" spans="1:14" x14ac:dyDescent="0.3">
      <c r="A26" s="7">
        <v>45801</v>
      </c>
      <c r="B26" s="14">
        <v>4360</v>
      </c>
      <c r="C26" s="9">
        <f t="shared" si="0"/>
        <v>3963.6363636363635</v>
      </c>
      <c r="D26" s="9">
        <f t="shared" si="1"/>
        <v>396.36363636363637</v>
      </c>
      <c r="E26" s="14">
        <v>29320</v>
      </c>
      <c r="F26" s="9">
        <f t="shared" si="4"/>
        <v>26654.545454545452</v>
      </c>
      <c r="G26" s="9">
        <f t="shared" si="5"/>
        <v>2665.4545454545455</v>
      </c>
      <c r="H26" s="14">
        <v>6840</v>
      </c>
      <c r="I26" s="14">
        <f>26840-700</f>
        <v>26140</v>
      </c>
      <c r="J26" s="14">
        <v>700</v>
      </c>
      <c r="K26" s="17">
        <v>60</v>
      </c>
      <c r="L26" s="17">
        <v>252.5</v>
      </c>
      <c r="M26" s="17">
        <v>1200</v>
      </c>
      <c r="N26" s="18">
        <v>0</v>
      </c>
    </row>
    <row r="27" spans="1:14" x14ac:dyDescent="0.3">
      <c r="A27" s="7">
        <v>45802</v>
      </c>
      <c r="B27" s="14">
        <v>4480</v>
      </c>
      <c r="C27" s="9">
        <f t="shared" si="0"/>
        <v>4072.7272727272725</v>
      </c>
      <c r="D27" s="9">
        <f t="shared" si="1"/>
        <v>407.27272727272725</v>
      </c>
      <c r="E27" s="14">
        <v>22765</v>
      </c>
      <c r="F27" s="9">
        <f t="shared" si="4"/>
        <v>20695.454545454544</v>
      </c>
      <c r="G27" s="9">
        <f t="shared" si="5"/>
        <v>2069.5454545454545</v>
      </c>
      <c r="H27" s="14">
        <v>4485</v>
      </c>
      <c r="I27" s="14">
        <f>22370-1330</f>
        <v>21040</v>
      </c>
      <c r="J27" s="14">
        <v>1330</v>
      </c>
      <c r="K27" s="18">
        <v>0</v>
      </c>
      <c r="L27" s="17">
        <v>130</v>
      </c>
      <c r="M27" s="18">
        <v>0</v>
      </c>
      <c r="N27" s="17">
        <v>390</v>
      </c>
    </row>
    <row r="28" spans="1:14" x14ac:dyDescent="0.3">
      <c r="A28" s="7">
        <v>45803</v>
      </c>
      <c r="B28" s="14">
        <v>3280</v>
      </c>
      <c r="C28" s="9">
        <f t="shared" si="0"/>
        <v>2981.8181818181815</v>
      </c>
      <c r="D28" s="9">
        <f t="shared" si="1"/>
        <v>298.18181818181819</v>
      </c>
      <c r="E28" s="14">
        <v>12710</v>
      </c>
      <c r="F28" s="9">
        <f t="shared" si="4"/>
        <v>11554.545454545454</v>
      </c>
      <c r="G28" s="9">
        <f t="shared" si="5"/>
        <v>1155.4545454545455</v>
      </c>
      <c r="H28" s="14">
        <v>2062.5</v>
      </c>
      <c r="I28" s="14">
        <f>13927.5-455</f>
        <v>13472.5</v>
      </c>
      <c r="J28" s="14">
        <v>455</v>
      </c>
      <c r="K28" s="18">
        <v>0</v>
      </c>
      <c r="L28" s="17">
        <v>270</v>
      </c>
      <c r="M28" s="18">
        <v>0</v>
      </c>
      <c r="N28" s="18">
        <v>0</v>
      </c>
    </row>
    <row r="29" spans="1:14" x14ac:dyDescent="0.3">
      <c r="A29" s="7">
        <v>45804</v>
      </c>
      <c r="B29" s="14">
        <v>3505</v>
      </c>
      <c r="C29" s="9">
        <f t="shared" si="0"/>
        <v>3186.363636363636</v>
      </c>
      <c r="D29" s="9">
        <f t="shared" si="1"/>
        <v>318.63636363636363</v>
      </c>
      <c r="E29" s="14">
        <v>19292.5</v>
      </c>
      <c r="F29" s="9">
        <f t="shared" si="4"/>
        <v>17538.636363636364</v>
      </c>
      <c r="G29" s="9">
        <f t="shared" si="5"/>
        <v>1753.8636363636365</v>
      </c>
      <c r="H29" s="14">
        <v>5090</v>
      </c>
      <c r="I29" s="14">
        <f>17267.5-440</f>
        <v>16827.5</v>
      </c>
      <c r="J29" s="14">
        <v>440</v>
      </c>
      <c r="K29" s="18">
        <v>0</v>
      </c>
      <c r="L29" s="18">
        <v>0</v>
      </c>
      <c r="M29" s="18">
        <v>0</v>
      </c>
      <c r="N29" s="17">
        <v>440</v>
      </c>
    </row>
    <row r="30" spans="1:14" x14ac:dyDescent="0.3">
      <c r="A30" s="7">
        <v>45805</v>
      </c>
      <c r="B30" s="14">
        <v>3500</v>
      </c>
      <c r="C30" s="9">
        <f t="shared" si="0"/>
        <v>3181.8181818181815</v>
      </c>
      <c r="D30" s="9">
        <f t="shared" si="1"/>
        <v>318.18181818181819</v>
      </c>
      <c r="E30" s="14">
        <v>21625</v>
      </c>
      <c r="F30" s="9">
        <f t="shared" si="4"/>
        <v>19659.090909090908</v>
      </c>
      <c r="G30" s="9">
        <f t="shared" si="5"/>
        <v>1965.909090909091</v>
      </c>
      <c r="H30" s="14">
        <v>4260</v>
      </c>
      <c r="I30" s="14">
        <f>20865-265</f>
        <v>20600</v>
      </c>
      <c r="J30" s="14">
        <v>265</v>
      </c>
      <c r="K30" s="18">
        <v>0</v>
      </c>
      <c r="L30" s="18">
        <v>0</v>
      </c>
      <c r="M30" s="17">
        <v>330</v>
      </c>
      <c r="N30" s="18">
        <v>0</v>
      </c>
    </row>
    <row r="31" spans="1:14" x14ac:dyDescent="0.3">
      <c r="A31" s="7">
        <v>45806</v>
      </c>
      <c r="B31" s="14">
        <v>4870</v>
      </c>
      <c r="C31" s="9">
        <f t="shared" si="0"/>
        <v>4427.272727272727</v>
      </c>
      <c r="D31" s="9">
        <f t="shared" si="1"/>
        <v>442.72727272727275</v>
      </c>
      <c r="E31" s="14">
        <v>23025</v>
      </c>
      <c r="F31" s="9">
        <f t="shared" si="4"/>
        <v>20931.81818181818</v>
      </c>
      <c r="G31" s="9">
        <f t="shared" si="5"/>
        <v>2093.181818181818</v>
      </c>
      <c r="H31" s="14">
        <v>6280</v>
      </c>
      <c r="I31" s="14">
        <v>20295</v>
      </c>
      <c r="J31" s="14">
        <v>1100</v>
      </c>
      <c r="K31" s="18">
        <v>0</v>
      </c>
      <c r="L31" s="18">
        <v>0</v>
      </c>
      <c r="M31" s="18">
        <v>0</v>
      </c>
      <c r="N31" s="17">
        <v>220</v>
      </c>
    </row>
    <row r="32" spans="1:14" x14ac:dyDescent="0.3">
      <c r="A32" s="7">
        <v>45807</v>
      </c>
      <c r="B32" s="14">
        <v>5605</v>
      </c>
      <c r="C32" s="9">
        <f t="shared" ref="C32:C33" si="6">B32/1.1</f>
        <v>5095.454545454545</v>
      </c>
      <c r="D32" s="9">
        <f t="shared" ref="D32:D33" si="7">C32*0.1</f>
        <v>509.5454545454545</v>
      </c>
      <c r="E32" s="14">
        <v>21357</v>
      </c>
      <c r="F32" s="9">
        <f t="shared" ref="F32:F33" si="8">E32/1.1</f>
        <v>19415.454545454544</v>
      </c>
      <c r="G32" s="9">
        <f t="shared" ref="G32:G33" si="9">F32*0.1</f>
        <v>1941.5454545454545</v>
      </c>
      <c r="H32" s="14">
        <v>5270</v>
      </c>
      <c r="I32" s="14">
        <f>21692-395</f>
        <v>21297</v>
      </c>
      <c r="J32" s="14">
        <v>395</v>
      </c>
      <c r="K32" s="17">
        <v>475</v>
      </c>
      <c r="L32" s="18">
        <v>0</v>
      </c>
      <c r="M32" s="18">
        <v>0</v>
      </c>
      <c r="N32" s="18">
        <v>0</v>
      </c>
    </row>
    <row r="33" spans="1:14" x14ac:dyDescent="0.3">
      <c r="A33" s="7">
        <v>45808</v>
      </c>
      <c r="B33" s="14">
        <v>5585</v>
      </c>
      <c r="C33" s="9">
        <f t="shared" si="6"/>
        <v>5077.272727272727</v>
      </c>
      <c r="D33" s="9">
        <f t="shared" si="7"/>
        <v>507.72727272727275</v>
      </c>
      <c r="E33" s="14">
        <v>25730</v>
      </c>
      <c r="F33" s="9">
        <f t="shared" si="8"/>
        <v>23390.909090909088</v>
      </c>
      <c r="G33" s="9">
        <f t="shared" si="9"/>
        <v>2339.090909090909</v>
      </c>
      <c r="H33" s="14">
        <v>5615</v>
      </c>
      <c r="I33" s="14">
        <v>25460</v>
      </c>
      <c r="J33" s="14">
        <v>240</v>
      </c>
      <c r="K33" s="18">
        <v>0</v>
      </c>
      <c r="L33" s="17">
        <v>45</v>
      </c>
      <c r="M33" s="18">
        <v>0</v>
      </c>
      <c r="N33" s="18">
        <v>0</v>
      </c>
    </row>
    <row r="34" spans="1:14" x14ac:dyDescent="0.3">
      <c r="B34" s="6">
        <f>SUM(B4:B33)</f>
        <v>124406.06</v>
      </c>
      <c r="C34" s="8">
        <f t="shared" si="0"/>
        <v>113096.41818181817</v>
      </c>
      <c r="D34" s="8">
        <f t="shared" ref="D34" si="10">C34*10/100</f>
        <v>11309.641818181817</v>
      </c>
      <c r="E34" s="6">
        <f>SUM(E4:E33)</f>
        <v>650334.94999999995</v>
      </c>
      <c r="F34" s="8">
        <f t="shared" si="4"/>
        <v>591213.59090909082</v>
      </c>
      <c r="G34" s="8">
        <f t="shared" ref="G34" si="11">F34*10/100</f>
        <v>59121.359090909085</v>
      </c>
      <c r="H34" s="6">
        <f t="shared" ref="H34:J34" si="12">SUM(H4:H33)</f>
        <v>147996.5</v>
      </c>
      <c r="I34" s="6">
        <f t="shared" si="12"/>
        <v>600684.51</v>
      </c>
      <c r="J34" s="19">
        <f t="shared" si="12"/>
        <v>19505</v>
      </c>
      <c r="K34" s="19">
        <f>SUM(K3:K33)</f>
        <v>2315</v>
      </c>
      <c r="L34" s="19">
        <f>SUM(L3:L33)</f>
        <v>4142.5</v>
      </c>
      <c r="M34" s="19">
        <f>SUM(M3:M33)</f>
        <v>6015</v>
      </c>
      <c r="N34" s="19">
        <f>SUM(N3:N33)</f>
        <v>6555</v>
      </c>
    </row>
    <row r="35" spans="1:14" x14ac:dyDescent="0.3">
      <c r="B35" s="5"/>
      <c r="C35" s="5"/>
      <c r="D35" s="5"/>
      <c r="E35" s="5"/>
      <c r="F35" s="5"/>
      <c r="G35" s="5"/>
      <c r="H35" s="5"/>
      <c r="I35" s="5"/>
      <c r="J35" s="5"/>
      <c r="K35" s="20"/>
      <c r="L35" s="20"/>
      <c r="M35" s="20"/>
      <c r="N35" s="20"/>
    </row>
    <row r="36" spans="1:14" x14ac:dyDescent="0.3">
      <c r="D36" s="5"/>
      <c r="I36" s="5"/>
    </row>
  </sheetData>
  <pageMargins left="0.7" right="0.7" top="0.75" bottom="0.75" header="0.3" footer="0.3"/>
  <pageSetup paperSize="9" scale="7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22" workbookViewId="0">
      <selection activeCell="B33" sqref="B33:N33"/>
    </sheetView>
  </sheetViews>
  <sheetFormatPr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1.109375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10.5546875" style="4" bestFit="1" customWidth="1"/>
    <col min="13" max="13" width="8.88671875" style="4" bestFit="1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45809</v>
      </c>
      <c r="B3" s="14">
        <v>4455</v>
      </c>
      <c r="C3" s="9">
        <f t="shared" ref="C3:C33" si="0">B3/1.1</f>
        <v>4049.9999999999995</v>
      </c>
      <c r="D3" s="9">
        <f t="shared" ref="D3:D32" si="1">C3*0.1</f>
        <v>405</v>
      </c>
      <c r="E3" s="14">
        <v>21665</v>
      </c>
      <c r="F3" s="9">
        <f t="shared" ref="F3:F33" si="2">E3/1.1</f>
        <v>19695.454545454544</v>
      </c>
      <c r="G3" s="9">
        <f t="shared" ref="G3:G32" si="3">F3*0.1</f>
        <v>1969.5454545454545</v>
      </c>
      <c r="H3" s="14">
        <v>5515</v>
      </c>
      <c r="I3" s="14">
        <v>19620</v>
      </c>
      <c r="J3" s="14">
        <v>985</v>
      </c>
      <c r="K3" s="17">
        <v>430</v>
      </c>
      <c r="L3" s="17">
        <v>320</v>
      </c>
      <c r="M3" s="17">
        <v>665</v>
      </c>
      <c r="N3" s="18">
        <v>0</v>
      </c>
    </row>
    <row r="4" spans="1:14" x14ac:dyDescent="0.3">
      <c r="A4" s="7">
        <v>45810</v>
      </c>
      <c r="B4" s="14">
        <v>4495</v>
      </c>
      <c r="C4" s="9">
        <f t="shared" si="0"/>
        <v>4086.363636363636</v>
      </c>
      <c r="D4" s="9">
        <f t="shared" si="1"/>
        <v>408.63636363636363</v>
      </c>
      <c r="E4" s="14">
        <v>16030</v>
      </c>
      <c r="F4" s="9">
        <f t="shared" si="2"/>
        <v>14572.727272727272</v>
      </c>
      <c r="G4" s="9">
        <f t="shared" si="3"/>
        <v>1457.2727272727273</v>
      </c>
      <c r="H4" s="14">
        <v>4060</v>
      </c>
      <c r="I4" s="14">
        <v>16260</v>
      </c>
      <c r="J4" s="14">
        <v>205</v>
      </c>
      <c r="K4" s="18">
        <v>0</v>
      </c>
      <c r="L4" s="18">
        <v>0</v>
      </c>
      <c r="M4" s="17">
        <v>125</v>
      </c>
      <c r="N4" s="18">
        <v>0</v>
      </c>
    </row>
    <row r="5" spans="1:14" x14ac:dyDescent="0.3">
      <c r="A5" s="7">
        <v>45811</v>
      </c>
      <c r="B5" s="14">
        <f>3780</f>
        <v>3780</v>
      </c>
      <c r="C5" s="9">
        <f t="shared" si="0"/>
        <v>3436.363636363636</v>
      </c>
      <c r="D5" s="9">
        <f t="shared" si="1"/>
        <v>343.63636363636363</v>
      </c>
      <c r="E5" s="14">
        <f>24822.5+405</f>
        <v>25227.5</v>
      </c>
      <c r="F5" s="9">
        <f t="shared" si="2"/>
        <v>22934.090909090908</v>
      </c>
      <c r="G5" s="9">
        <f t="shared" si="3"/>
        <v>2293.409090909091</v>
      </c>
      <c r="H5" s="14">
        <f>5345</f>
        <v>5345</v>
      </c>
      <c r="I5" s="14">
        <f>21712.5+405</f>
        <v>22117.5</v>
      </c>
      <c r="J5" s="14">
        <v>1545</v>
      </c>
      <c r="K5" s="18">
        <v>0</v>
      </c>
      <c r="L5" s="17">
        <v>130</v>
      </c>
      <c r="M5" s="17">
        <v>475</v>
      </c>
      <c r="N5" s="18">
        <v>0</v>
      </c>
    </row>
    <row r="6" spans="1:14" x14ac:dyDescent="0.3">
      <c r="A6" s="7">
        <v>45812</v>
      </c>
      <c r="B6" s="14">
        <v>3388.23</v>
      </c>
      <c r="C6" s="9">
        <f t="shared" si="0"/>
        <v>3080.2090909090907</v>
      </c>
      <c r="D6" s="9">
        <f t="shared" si="1"/>
        <v>308.02090909090907</v>
      </c>
      <c r="E6" s="14">
        <v>24216.77</v>
      </c>
      <c r="F6" s="9">
        <f t="shared" si="2"/>
        <v>22015.245454545453</v>
      </c>
      <c r="G6" s="9">
        <f t="shared" si="3"/>
        <v>2201.5245454545452</v>
      </c>
      <c r="H6" s="14">
        <v>6780</v>
      </c>
      <c r="I6" s="14">
        <v>20080</v>
      </c>
      <c r="J6" s="14">
        <v>745</v>
      </c>
      <c r="K6" s="17">
        <v>260</v>
      </c>
      <c r="L6" s="17">
        <v>367.5</v>
      </c>
      <c r="M6" s="17">
        <v>780</v>
      </c>
      <c r="N6" s="18">
        <v>0</v>
      </c>
    </row>
    <row r="7" spans="1:14" x14ac:dyDescent="0.3">
      <c r="A7" s="7">
        <v>45813</v>
      </c>
      <c r="B7" s="14">
        <v>2230.6799999999998</v>
      </c>
      <c r="C7" s="9">
        <f t="shared" si="0"/>
        <v>2027.8909090909087</v>
      </c>
      <c r="D7" s="9">
        <f t="shared" si="1"/>
        <v>202.78909090909087</v>
      </c>
      <c r="E7" s="14">
        <v>19301.82</v>
      </c>
      <c r="F7" s="9">
        <f t="shared" si="2"/>
        <v>17547.109090909089</v>
      </c>
      <c r="G7" s="9">
        <f t="shared" si="3"/>
        <v>1754.7109090909089</v>
      </c>
      <c r="H7" s="14">
        <v>3765</v>
      </c>
      <c r="I7" s="14">
        <v>16747.5</v>
      </c>
      <c r="J7" s="14">
        <v>670</v>
      </c>
      <c r="K7" s="17">
        <v>190</v>
      </c>
      <c r="L7" s="17">
        <v>120</v>
      </c>
      <c r="M7" s="18">
        <v>0</v>
      </c>
      <c r="N7" s="17">
        <v>350</v>
      </c>
    </row>
    <row r="8" spans="1:14" x14ac:dyDescent="0.3">
      <c r="A8" s="7">
        <v>45814</v>
      </c>
      <c r="B8" s="14">
        <v>3715</v>
      </c>
      <c r="C8" s="9">
        <f t="shared" si="0"/>
        <v>3377.272727272727</v>
      </c>
      <c r="D8" s="9">
        <f t="shared" si="1"/>
        <v>337.72727272727275</v>
      </c>
      <c r="E8" s="14">
        <v>18467.5</v>
      </c>
      <c r="F8" s="9">
        <f t="shared" si="2"/>
        <v>16788.636363636364</v>
      </c>
      <c r="G8" s="9">
        <f t="shared" si="3"/>
        <v>1678.8636363636365</v>
      </c>
      <c r="H8" s="14">
        <v>6115</v>
      </c>
      <c r="I8" s="14">
        <v>14907.5</v>
      </c>
      <c r="J8" s="14">
        <v>1160</v>
      </c>
      <c r="K8" s="18">
        <v>0</v>
      </c>
      <c r="L8" s="17">
        <v>75</v>
      </c>
      <c r="M8" s="18">
        <v>0</v>
      </c>
      <c r="N8" s="18">
        <v>0</v>
      </c>
    </row>
    <row r="9" spans="1:14" x14ac:dyDescent="0.3">
      <c r="A9" s="7">
        <v>45815</v>
      </c>
      <c r="B9" s="14">
        <v>2045</v>
      </c>
      <c r="C9" s="9">
        <f t="shared" si="0"/>
        <v>1859.090909090909</v>
      </c>
      <c r="D9" s="9">
        <f t="shared" si="1"/>
        <v>185.90909090909091</v>
      </c>
      <c r="E9" s="14">
        <v>22170</v>
      </c>
      <c r="F9" s="9">
        <f t="shared" si="2"/>
        <v>20154.545454545452</v>
      </c>
      <c r="G9" s="9">
        <f t="shared" si="3"/>
        <v>2015.4545454545453</v>
      </c>
      <c r="H9" s="14">
        <v>5290</v>
      </c>
      <c r="I9" s="14">
        <v>18655</v>
      </c>
      <c r="J9" s="14">
        <v>270</v>
      </c>
      <c r="K9" s="18">
        <v>0</v>
      </c>
      <c r="L9" s="18">
        <v>0</v>
      </c>
      <c r="M9" s="18">
        <v>0</v>
      </c>
      <c r="N9" s="18">
        <v>0</v>
      </c>
    </row>
    <row r="10" spans="1:14" x14ac:dyDescent="0.3">
      <c r="A10" s="7">
        <v>45816</v>
      </c>
      <c r="B10" s="14">
        <v>1520</v>
      </c>
      <c r="C10" s="9">
        <f t="shared" si="0"/>
        <v>1381.8181818181818</v>
      </c>
      <c r="D10" s="9">
        <f t="shared" si="1"/>
        <v>138.18181818181819</v>
      </c>
      <c r="E10" s="14">
        <v>18580</v>
      </c>
      <c r="F10" s="9">
        <f t="shared" si="2"/>
        <v>16890.909090909088</v>
      </c>
      <c r="G10" s="9">
        <f t="shared" si="3"/>
        <v>1689.090909090909</v>
      </c>
      <c r="H10" s="14">
        <v>5370</v>
      </c>
      <c r="I10" s="14">
        <v>14210</v>
      </c>
      <c r="J10" s="14">
        <v>520</v>
      </c>
      <c r="K10" s="18">
        <v>0</v>
      </c>
      <c r="L10" s="17">
        <v>330</v>
      </c>
      <c r="M10" s="17">
        <v>575</v>
      </c>
      <c r="N10" s="18">
        <v>0</v>
      </c>
    </row>
    <row r="11" spans="1:14" x14ac:dyDescent="0.3">
      <c r="A11" s="7">
        <v>45817</v>
      </c>
      <c r="B11" s="14">
        <v>2075</v>
      </c>
      <c r="C11" s="9">
        <f t="shared" si="0"/>
        <v>1886.3636363636363</v>
      </c>
      <c r="D11" s="9">
        <f t="shared" si="1"/>
        <v>188.63636363636363</v>
      </c>
      <c r="E11" s="14">
        <v>18674</v>
      </c>
      <c r="F11" s="9">
        <f t="shared" si="2"/>
        <v>16976.363636363636</v>
      </c>
      <c r="G11" s="9">
        <f t="shared" si="3"/>
        <v>1697.6363636363637</v>
      </c>
      <c r="H11" s="14">
        <v>3084</v>
      </c>
      <c r="I11" s="14">
        <v>17320</v>
      </c>
      <c r="J11" s="14">
        <v>345</v>
      </c>
      <c r="K11" s="18">
        <v>0</v>
      </c>
      <c r="L11" s="18">
        <v>0</v>
      </c>
      <c r="M11" s="17">
        <v>225</v>
      </c>
      <c r="N11" s="18">
        <v>0</v>
      </c>
    </row>
    <row r="12" spans="1:14" x14ac:dyDescent="0.3">
      <c r="A12" s="7">
        <v>45818</v>
      </c>
      <c r="B12" s="14">
        <v>3785</v>
      </c>
      <c r="C12" s="9">
        <f t="shared" si="0"/>
        <v>3440.9090909090905</v>
      </c>
      <c r="D12" s="9">
        <f t="shared" si="1"/>
        <v>344.09090909090907</v>
      </c>
      <c r="E12" s="14">
        <v>18640</v>
      </c>
      <c r="F12" s="9">
        <f t="shared" si="2"/>
        <v>16945.454545454544</v>
      </c>
      <c r="G12" s="9">
        <f t="shared" si="3"/>
        <v>1694.5454545454545</v>
      </c>
      <c r="H12" s="14">
        <v>5055</v>
      </c>
      <c r="I12" s="14">
        <v>16825</v>
      </c>
      <c r="J12" s="14">
        <v>545</v>
      </c>
      <c r="K12" s="18">
        <v>0</v>
      </c>
      <c r="L12" s="18">
        <v>0</v>
      </c>
      <c r="M12" s="18">
        <v>0</v>
      </c>
      <c r="N12" s="18">
        <v>0</v>
      </c>
    </row>
    <row r="13" spans="1:14" x14ac:dyDescent="0.3">
      <c r="A13" s="7">
        <v>45819</v>
      </c>
      <c r="B13" s="14">
        <v>4020.63</v>
      </c>
      <c r="C13" s="9">
        <f t="shared" si="0"/>
        <v>3655.1181818181817</v>
      </c>
      <c r="D13" s="9">
        <f t="shared" si="1"/>
        <v>365.51181818181817</v>
      </c>
      <c r="E13" s="14">
        <v>23441.37</v>
      </c>
      <c r="F13" s="9">
        <f t="shared" si="2"/>
        <v>21310.336363636361</v>
      </c>
      <c r="G13" s="9">
        <f t="shared" si="3"/>
        <v>2131.0336363636361</v>
      </c>
      <c r="H13" s="14">
        <v>5640</v>
      </c>
      <c r="I13" s="14">
        <v>20334.5</v>
      </c>
      <c r="J13" s="14">
        <v>1267.5</v>
      </c>
      <c r="K13" s="18">
        <v>0</v>
      </c>
      <c r="L13" s="17">
        <v>90</v>
      </c>
      <c r="M13" s="18">
        <v>0</v>
      </c>
      <c r="N13" s="17">
        <v>220</v>
      </c>
    </row>
    <row r="14" spans="1:14" x14ac:dyDescent="0.3">
      <c r="A14" s="7">
        <v>45820</v>
      </c>
      <c r="B14" s="14">
        <v>4340</v>
      </c>
      <c r="C14" s="9">
        <f t="shared" si="0"/>
        <v>3945.454545454545</v>
      </c>
      <c r="D14" s="9">
        <f t="shared" si="1"/>
        <v>394.5454545454545</v>
      </c>
      <c r="E14" s="14">
        <v>28369</v>
      </c>
      <c r="F14" s="9">
        <f t="shared" si="2"/>
        <v>25789.999999999996</v>
      </c>
      <c r="G14" s="9">
        <f t="shared" si="3"/>
        <v>2579</v>
      </c>
      <c r="H14" s="14">
        <v>6369</v>
      </c>
      <c r="I14" s="14">
        <v>24710</v>
      </c>
      <c r="J14" s="14">
        <v>1395</v>
      </c>
      <c r="K14" s="18">
        <v>0</v>
      </c>
      <c r="L14" s="18">
        <v>0</v>
      </c>
      <c r="M14" s="17">
        <v>120</v>
      </c>
      <c r="N14" s="17">
        <v>235</v>
      </c>
    </row>
    <row r="15" spans="1:14" x14ac:dyDescent="0.3">
      <c r="A15" s="7">
        <v>45821</v>
      </c>
      <c r="B15" s="14">
        <v>5630.49</v>
      </c>
      <c r="C15" s="9">
        <f t="shared" si="0"/>
        <v>5118.6272727272717</v>
      </c>
      <c r="D15" s="9">
        <f t="shared" si="1"/>
        <v>511.86272727272717</v>
      </c>
      <c r="E15" s="14">
        <v>23324.51</v>
      </c>
      <c r="F15" s="9">
        <f t="shared" si="2"/>
        <v>21204.1</v>
      </c>
      <c r="G15" s="9">
        <f t="shared" si="3"/>
        <v>2120.41</v>
      </c>
      <c r="H15" s="14">
        <v>3865</v>
      </c>
      <c r="I15" s="14">
        <v>24335</v>
      </c>
      <c r="J15" s="14">
        <v>755</v>
      </c>
      <c r="K15" s="17">
        <v>180</v>
      </c>
      <c r="L15" s="18">
        <v>0</v>
      </c>
      <c r="M15" s="17">
        <v>155</v>
      </c>
      <c r="N15" s="18">
        <v>0</v>
      </c>
    </row>
    <row r="16" spans="1:14" x14ac:dyDescent="0.3">
      <c r="A16" s="7">
        <v>45822</v>
      </c>
      <c r="B16" s="14">
        <v>5461.58</v>
      </c>
      <c r="C16" s="9">
        <f t="shared" si="0"/>
        <v>4965.0727272727272</v>
      </c>
      <c r="D16" s="9">
        <f t="shared" si="1"/>
        <v>496.50727272727272</v>
      </c>
      <c r="E16" s="14">
        <v>22113.42</v>
      </c>
      <c r="F16" s="9">
        <f t="shared" si="2"/>
        <v>20103.109090909089</v>
      </c>
      <c r="G16" s="9">
        <f t="shared" si="3"/>
        <v>2010.310909090909</v>
      </c>
      <c r="H16" s="14">
        <v>5460</v>
      </c>
      <c r="I16" s="14">
        <v>21715</v>
      </c>
      <c r="J16" s="14">
        <v>400</v>
      </c>
      <c r="K16" s="17">
        <v>130</v>
      </c>
      <c r="L16" s="17">
        <v>40</v>
      </c>
      <c r="M16" s="17">
        <v>940</v>
      </c>
      <c r="N16" s="18">
        <v>0</v>
      </c>
    </row>
    <row r="17" spans="1:14" x14ac:dyDescent="0.3">
      <c r="A17" s="7">
        <v>45823</v>
      </c>
      <c r="B17" s="14">
        <v>3570</v>
      </c>
      <c r="C17" s="9">
        <f t="shared" si="0"/>
        <v>3245.454545454545</v>
      </c>
      <c r="D17" s="9">
        <f t="shared" si="1"/>
        <v>324.5454545454545</v>
      </c>
      <c r="E17" s="14">
        <v>22365</v>
      </c>
      <c r="F17" s="9">
        <f t="shared" si="2"/>
        <v>20331.81818181818</v>
      </c>
      <c r="G17" s="9">
        <f t="shared" si="3"/>
        <v>2033.181818181818</v>
      </c>
      <c r="H17" s="14">
        <v>3760</v>
      </c>
      <c r="I17" s="14">
        <v>21220</v>
      </c>
      <c r="J17" s="14">
        <v>470</v>
      </c>
      <c r="K17" s="18">
        <v>0</v>
      </c>
      <c r="L17" s="17">
        <v>240</v>
      </c>
      <c r="M17" s="17">
        <v>535</v>
      </c>
      <c r="N17" s="17">
        <v>485</v>
      </c>
    </row>
    <row r="18" spans="1:14" x14ac:dyDescent="0.3">
      <c r="A18" s="7">
        <v>45824</v>
      </c>
      <c r="B18" s="14">
        <v>3125</v>
      </c>
      <c r="C18" s="9">
        <f t="shared" si="0"/>
        <v>2840.9090909090905</v>
      </c>
      <c r="D18" s="9">
        <f t="shared" si="1"/>
        <v>284.09090909090907</v>
      </c>
      <c r="E18" s="14">
        <v>23845</v>
      </c>
      <c r="F18" s="9">
        <f t="shared" si="2"/>
        <v>21677.272727272724</v>
      </c>
      <c r="G18" s="9">
        <f t="shared" si="3"/>
        <v>2167.7272727272725</v>
      </c>
      <c r="H18" s="14">
        <v>3035</v>
      </c>
      <c r="I18" s="14">
        <v>22840</v>
      </c>
      <c r="J18" s="14">
        <v>1095</v>
      </c>
      <c r="K18" s="18">
        <v>0</v>
      </c>
      <c r="L18" s="18">
        <v>0</v>
      </c>
      <c r="M18" s="17">
        <v>90</v>
      </c>
      <c r="N18" s="18">
        <v>0</v>
      </c>
    </row>
    <row r="19" spans="1:14" x14ac:dyDescent="0.3">
      <c r="A19" s="7">
        <v>45825</v>
      </c>
      <c r="B19" s="14">
        <v>3410</v>
      </c>
      <c r="C19" s="9">
        <f t="shared" si="0"/>
        <v>3099.9999999999995</v>
      </c>
      <c r="D19" s="9">
        <f t="shared" si="1"/>
        <v>310</v>
      </c>
      <c r="E19" s="14">
        <v>23180</v>
      </c>
      <c r="F19" s="9">
        <f t="shared" si="2"/>
        <v>21072.727272727272</v>
      </c>
      <c r="G19" s="9">
        <f t="shared" si="3"/>
        <v>2107.2727272727275</v>
      </c>
      <c r="H19" s="14">
        <v>8135</v>
      </c>
      <c r="I19" s="14">
        <v>18125</v>
      </c>
      <c r="J19" s="14">
        <v>110</v>
      </c>
      <c r="K19" s="18">
        <v>0</v>
      </c>
      <c r="L19" s="18">
        <v>0</v>
      </c>
      <c r="M19" s="17">
        <v>410</v>
      </c>
      <c r="N19" s="17">
        <v>220</v>
      </c>
    </row>
    <row r="20" spans="1:14" x14ac:dyDescent="0.3">
      <c r="A20" s="7">
        <v>45826</v>
      </c>
      <c r="B20" s="14">
        <v>4480.1099999999997</v>
      </c>
      <c r="C20" s="9">
        <f t="shared" si="0"/>
        <v>4072.827272727272</v>
      </c>
      <c r="D20" s="9">
        <f t="shared" si="1"/>
        <v>407.28272727272724</v>
      </c>
      <c r="E20" s="14">
        <v>18609.89</v>
      </c>
      <c r="F20" s="9">
        <f t="shared" si="2"/>
        <v>16918.081818181818</v>
      </c>
      <c r="G20" s="9">
        <f t="shared" si="3"/>
        <v>1691.8081818181818</v>
      </c>
      <c r="H20" s="14">
        <v>4570</v>
      </c>
      <c r="I20" s="14">
        <v>17140</v>
      </c>
      <c r="J20" s="14">
        <v>890</v>
      </c>
      <c r="K20" s="18">
        <v>0</v>
      </c>
      <c r="L20" s="18">
        <v>0</v>
      </c>
      <c r="M20" s="17">
        <v>185</v>
      </c>
      <c r="N20" s="17">
        <v>490</v>
      </c>
    </row>
    <row r="21" spans="1:14" x14ac:dyDescent="0.3">
      <c r="A21" s="7">
        <v>45827</v>
      </c>
      <c r="B21" s="14">
        <v>4720</v>
      </c>
      <c r="C21" s="9">
        <f t="shared" si="0"/>
        <v>4290.909090909091</v>
      </c>
      <c r="D21" s="9">
        <f t="shared" si="1"/>
        <v>429.09090909090912</v>
      </c>
      <c r="E21" s="14">
        <v>26337.5</v>
      </c>
      <c r="F21" s="9">
        <f t="shared" si="2"/>
        <v>23943.181818181816</v>
      </c>
      <c r="G21" s="9">
        <f t="shared" si="3"/>
        <v>2394.3181818181815</v>
      </c>
      <c r="H21" s="14">
        <v>6355</v>
      </c>
      <c r="I21" s="14">
        <v>23572.5</v>
      </c>
      <c r="J21" s="14">
        <v>1130</v>
      </c>
      <c r="K21" s="17">
        <v>500</v>
      </c>
      <c r="L21" s="17">
        <v>205</v>
      </c>
      <c r="M21" s="17">
        <v>860</v>
      </c>
      <c r="N21" s="18">
        <v>0</v>
      </c>
    </row>
    <row r="22" spans="1:14" x14ac:dyDescent="0.3">
      <c r="A22" s="7">
        <v>45828</v>
      </c>
      <c r="B22" s="14">
        <v>6006.76</v>
      </c>
      <c r="C22" s="9">
        <f t="shared" si="0"/>
        <v>5460.6909090909085</v>
      </c>
      <c r="D22" s="9">
        <f t="shared" si="1"/>
        <v>546.06909090909085</v>
      </c>
      <c r="E22" s="14">
        <v>22170.74</v>
      </c>
      <c r="F22" s="9">
        <f t="shared" si="2"/>
        <v>20155.218181818182</v>
      </c>
      <c r="G22" s="9">
        <f t="shared" si="3"/>
        <v>2015.5218181818182</v>
      </c>
      <c r="H22" s="14">
        <v>5292.5</v>
      </c>
      <c r="I22" s="14">
        <v>20515</v>
      </c>
      <c r="J22" s="14">
        <v>1630</v>
      </c>
      <c r="K22" s="18">
        <v>0</v>
      </c>
      <c r="L22" s="17">
        <v>580</v>
      </c>
      <c r="M22" s="17">
        <v>790</v>
      </c>
      <c r="N22" s="17">
        <v>740</v>
      </c>
    </row>
    <row r="23" spans="1:14" x14ac:dyDescent="0.3">
      <c r="A23" s="7">
        <v>45829</v>
      </c>
      <c r="B23" s="14">
        <v>4020</v>
      </c>
      <c r="C23" s="9">
        <f t="shared" si="0"/>
        <v>3654.545454545454</v>
      </c>
      <c r="D23" s="9">
        <f t="shared" si="1"/>
        <v>365.45454545454544</v>
      </c>
      <c r="E23" s="14">
        <v>20932.5</v>
      </c>
      <c r="F23" s="9">
        <f t="shared" si="2"/>
        <v>19029.545454545452</v>
      </c>
      <c r="G23" s="9">
        <f t="shared" si="3"/>
        <v>1902.9545454545453</v>
      </c>
      <c r="H23" s="14">
        <v>5725</v>
      </c>
      <c r="I23" s="14">
        <v>18827.5</v>
      </c>
      <c r="J23" s="14">
        <v>400</v>
      </c>
      <c r="K23" s="18">
        <v>0</v>
      </c>
      <c r="L23" s="17">
        <v>210</v>
      </c>
      <c r="M23" s="18">
        <v>0</v>
      </c>
      <c r="N23" s="18">
        <v>0</v>
      </c>
    </row>
    <row r="24" spans="1:14" x14ac:dyDescent="0.3">
      <c r="A24" s="7">
        <v>45830</v>
      </c>
      <c r="B24" s="14">
        <v>5610</v>
      </c>
      <c r="C24" s="9">
        <f t="shared" si="0"/>
        <v>5100</v>
      </c>
      <c r="D24" s="9">
        <f t="shared" si="1"/>
        <v>510</v>
      </c>
      <c r="E24" s="14">
        <v>22715</v>
      </c>
      <c r="F24" s="9">
        <f t="shared" si="2"/>
        <v>20650</v>
      </c>
      <c r="G24" s="9">
        <f t="shared" si="3"/>
        <v>2065</v>
      </c>
      <c r="H24" s="14">
        <v>5845</v>
      </c>
      <c r="I24" s="14">
        <v>21395</v>
      </c>
      <c r="J24" s="14">
        <v>450</v>
      </c>
      <c r="K24" s="17">
        <v>200</v>
      </c>
      <c r="L24" s="17">
        <v>252.5</v>
      </c>
      <c r="M24" s="18">
        <v>0</v>
      </c>
      <c r="N24" s="17">
        <v>635</v>
      </c>
    </row>
    <row r="25" spans="1:14" x14ac:dyDescent="0.3">
      <c r="A25" s="7">
        <v>45831</v>
      </c>
      <c r="B25" s="14">
        <v>3772.5</v>
      </c>
      <c r="C25" s="9">
        <f t="shared" si="0"/>
        <v>3429.545454545454</v>
      </c>
      <c r="D25" s="9">
        <f t="shared" si="1"/>
        <v>342.95454545454544</v>
      </c>
      <c r="E25" s="14">
        <v>20402.5</v>
      </c>
      <c r="F25" s="9">
        <f t="shared" si="2"/>
        <v>18547.727272727272</v>
      </c>
      <c r="G25" s="9">
        <f t="shared" si="3"/>
        <v>1854.7727272727273</v>
      </c>
      <c r="H25" s="14">
        <v>4055</v>
      </c>
      <c r="I25" s="14">
        <v>18900</v>
      </c>
      <c r="J25" s="14">
        <v>1110</v>
      </c>
      <c r="K25" s="18">
        <v>0</v>
      </c>
      <c r="L25" s="17">
        <v>75</v>
      </c>
      <c r="M25" s="17">
        <v>120</v>
      </c>
      <c r="N25" s="17">
        <v>110</v>
      </c>
    </row>
    <row r="26" spans="1:14" x14ac:dyDescent="0.3">
      <c r="A26" s="7">
        <v>45832</v>
      </c>
      <c r="B26" s="14">
        <v>4160</v>
      </c>
      <c r="C26" s="9">
        <f t="shared" si="0"/>
        <v>3781.8181818181815</v>
      </c>
      <c r="D26" s="9">
        <f t="shared" si="1"/>
        <v>378.18181818181819</v>
      </c>
      <c r="E26" s="14">
        <v>23707.5</v>
      </c>
      <c r="F26" s="9">
        <f t="shared" si="2"/>
        <v>21552.272727272724</v>
      </c>
      <c r="G26" s="9">
        <f t="shared" si="3"/>
        <v>2155.2272727272725</v>
      </c>
      <c r="H26" s="14">
        <v>2670</v>
      </c>
      <c r="I26" s="14">
        <v>23762.5</v>
      </c>
      <c r="J26" s="14">
        <v>1235</v>
      </c>
      <c r="K26" s="18">
        <v>0</v>
      </c>
      <c r="L26" s="17">
        <v>280</v>
      </c>
      <c r="M26" s="17">
        <v>480</v>
      </c>
      <c r="N26" s="17">
        <v>200</v>
      </c>
    </row>
    <row r="27" spans="1:14" x14ac:dyDescent="0.3">
      <c r="A27" s="7">
        <v>45833</v>
      </c>
      <c r="B27" s="14">
        <v>4450</v>
      </c>
      <c r="C27" s="9">
        <f t="shared" si="0"/>
        <v>4045.454545454545</v>
      </c>
      <c r="D27" s="9">
        <f t="shared" si="1"/>
        <v>404.5454545454545</v>
      </c>
      <c r="E27" s="14">
        <v>23057.5</v>
      </c>
      <c r="F27" s="9">
        <f t="shared" si="2"/>
        <v>20961.363636363636</v>
      </c>
      <c r="G27" s="9">
        <f t="shared" si="3"/>
        <v>2096.1363636363635</v>
      </c>
      <c r="H27" s="14">
        <v>4520</v>
      </c>
      <c r="I27" s="14">
        <v>20562.5</v>
      </c>
      <c r="J27" s="14">
        <v>1350</v>
      </c>
      <c r="K27" s="18">
        <v>0</v>
      </c>
      <c r="L27" s="17">
        <v>197.5</v>
      </c>
      <c r="M27" s="18">
        <v>0</v>
      </c>
      <c r="N27" s="17">
        <v>1075</v>
      </c>
    </row>
    <row r="28" spans="1:14" x14ac:dyDescent="0.3">
      <c r="A28" s="7">
        <v>45834</v>
      </c>
      <c r="B28" s="14">
        <v>5255</v>
      </c>
      <c r="C28" s="9">
        <f t="shared" si="0"/>
        <v>4777.272727272727</v>
      </c>
      <c r="D28" s="9">
        <f t="shared" si="1"/>
        <v>477.72727272727275</v>
      </c>
      <c r="E28" s="14">
        <v>25115</v>
      </c>
      <c r="F28" s="9">
        <f t="shared" si="2"/>
        <v>22831.81818181818</v>
      </c>
      <c r="G28" s="9">
        <f t="shared" si="3"/>
        <v>2283.181818181818</v>
      </c>
      <c r="H28" s="14">
        <v>6420</v>
      </c>
      <c r="I28" s="14">
        <v>22135</v>
      </c>
      <c r="J28" s="14">
        <v>1180</v>
      </c>
      <c r="K28" s="17">
        <v>150</v>
      </c>
      <c r="L28" s="17">
        <v>320</v>
      </c>
      <c r="M28" s="18">
        <v>0</v>
      </c>
      <c r="N28" s="17">
        <v>635</v>
      </c>
    </row>
    <row r="29" spans="1:14" x14ac:dyDescent="0.3">
      <c r="A29" s="7">
        <v>45835</v>
      </c>
      <c r="B29" s="14">
        <v>5370</v>
      </c>
      <c r="C29" s="9">
        <f t="shared" si="0"/>
        <v>4881.8181818181811</v>
      </c>
      <c r="D29" s="9">
        <f t="shared" si="1"/>
        <v>488.18181818181813</v>
      </c>
      <c r="E29" s="14">
        <v>22337.5</v>
      </c>
      <c r="F29" s="9">
        <f t="shared" si="2"/>
        <v>20306.81818181818</v>
      </c>
      <c r="G29" s="9">
        <f t="shared" si="3"/>
        <v>2030.681818181818</v>
      </c>
      <c r="H29" s="14">
        <v>4310</v>
      </c>
      <c r="I29" s="14">
        <v>20537.5</v>
      </c>
      <c r="J29" s="14">
        <v>530</v>
      </c>
      <c r="K29" s="18">
        <v>0</v>
      </c>
      <c r="L29" s="18">
        <v>0</v>
      </c>
      <c r="M29" s="17">
        <v>528</v>
      </c>
      <c r="N29" s="17">
        <v>2330</v>
      </c>
    </row>
    <row r="30" spans="1:14" x14ac:dyDescent="0.3">
      <c r="A30" s="7">
        <v>45836</v>
      </c>
      <c r="B30" s="14">
        <f>300+5195</f>
        <v>5495</v>
      </c>
      <c r="C30" s="9">
        <f t="shared" si="0"/>
        <v>4995.454545454545</v>
      </c>
      <c r="D30" s="9">
        <f t="shared" si="1"/>
        <v>499.5454545454545</v>
      </c>
      <c r="E30" s="14">
        <f>340+28135+130+260</f>
        <v>28865</v>
      </c>
      <c r="F30" s="9">
        <f t="shared" si="2"/>
        <v>26240.909090909088</v>
      </c>
      <c r="G30" s="9">
        <f t="shared" si="3"/>
        <v>2624.090909090909</v>
      </c>
      <c r="H30" s="14">
        <f>560+4865</f>
        <v>5425</v>
      </c>
      <c r="I30" s="14">
        <f>80+26620+130+260</f>
        <v>27090</v>
      </c>
      <c r="J30" s="14">
        <v>1305</v>
      </c>
      <c r="K30" s="17">
        <v>300</v>
      </c>
      <c r="L30" s="17">
        <v>60</v>
      </c>
      <c r="M30" s="18">
        <v>0</v>
      </c>
      <c r="N30" s="17">
        <v>540</v>
      </c>
    </row>
    <row r="31" spans="1:14" x14ac:dyDescent="0.3">
      <c r="A31" s="7">
        <v>45837</v>
      </c>
      <c r="B31" s="14">
        <v>5058.95</v>
      </c>
      <c r="C31" s="9">
        <f t="shared" si="0"/>
        <v>4599.045454545454</v>
      </c>
      <c r="D31" s="9">
        <f t="shared" si="1"/>
        <v>459.90454545454543</v>
      </c>
      <c r="E31" s="14">
        <v>29362.05</v>
      </c>
      <c r="F31" s="9">
        <f t="shared" si="2"/>
        <v>26692.772727272724</v>
      </c>
      <c r="G31" s="9">
        <f t="shared" si="3"/>
        <v>2669.2772727272727</v>
      </c>
      <c r="H31" s="14">
        <v>7875</v>
      </c>
      <c r="I31" s="14">
        <v>25966</v>
      </c>
      <c r="J31" s="14">
        <v>420</v>
      </c>
      <c r="K31" s="18">
        <v>0</v>
      </c>
      <c r="L31" s="17">
        <v>285</v>
      </c>
      <c r="M31" s="18">
        <v>0</v>
      </c>
      <c r="N31" s="17">
        <v>160</v>
      </c>
    </row>
    <row r="32" spans="1:14" x14ac:dyDescent="0.3">
      <c r="A32" s="7">
        <v>45838</v>
      </c>
      <c r="B32" s="14">
        <v>5355</v>
      </c>
      <c r="C32" s="9">
        <f t="shared" si="0"/>
        <v>4868.181818181818</v>
      </c>
      <c r="D32" s="9">
        <f t="shared" si="1"/>
        <v>486.81818181818181</v>
      </c>
      <c r="E32" s="14">
        <v>27755</v>
      </c>
      <c r="F32" s="9">
        <f t="shared" si="2"/>
        <v>25231.81818181818</v>
      </c>
      <c r="G32" s="9">
        <f t="shared" si="3"/>
        <v>2523.181818181818</v>
      </c>
      <c r="H32" s="14">
        <v>6145</v>
      </c>
      <c r="I32" s="14">
        <v>25355</v>
      </c>
      <c r="J32" s="14">
        <v>360</v>
      </c>
      <c r="K32" s="17">
        <v>60</v>
      </c>
      <c r="L32" s="18">
        <v>0</v>
      </c>
      <c r="M32" s="17">
        <v>320</v>
      </c>
      <c r="N32" s="17">
        <v>1250</v>
      </c>
    </row>
    <row r="33" spans="2:14" x14ac:dyDescent="0.3">
      <c r="B33" s="6">
        <f>SUM(B4:B32)</f>
        <v>120344.93</v>
      </c>
      <c r="C33" s="8">
        <f t="shared" si="0"/>
        <v>109404.4818181818</v>
      </c>
      <c r="D33" s="8">
        <f t="shared" ref="D33" si="4">C33*10/100</f>
        <v>10940.448181818179</v>
      </c>
      <c r="E33" s="6">
        <f>SUM(E4:E32)</f>
        <v>659313.57000000007</v>
      </c>
      <c r="F33" s="8">
        <f t="shared" si="2"/>
        <v>599375.97272727278</v>
      </c>
      <c r="G33" s="8">
        <f t="shared" ref="G33" si="5">F33*10/100</f>
        <v>59937.597272727275</v>
      </c>
      <c r="H33" s="6">
        <f>SUM(H4:H32)</f>
        <v>150335.5</v>
      </c>
      <c r="I33" s="6">
        <f>SUM(I4:I32)</f>
        <v>596160.5</v>
      </c>
      <c r="J33" s="19">
        <f>SUM(J4:J32)</f>
        <v>23487.5</v>
      </c>
      <c r="K33" s="19">
        <f>SUM(K3:K32)</f>
        <v>2400</v>
      </c>
      <c r="L33" s="19">
        <f>SUM(L3:L32)</f>
        <v>4177.5</v>
      </c>
      <c r="M33" s="19">
        <f>SUM(M3:M32)</f>
        <v>8378</v>
      </c>
      <c r="N33" s="19">
        <f>SUM(N3:N32)</f>
        <v>9675</v>
      </c>
    </row>
    <row r="34" spans="2:14" x14ac:dyDescent="0.3">
      <c r="B34" s="5"/>
      <c r="C34" s="5"/>
      <c r="D34" s="5"/>
      <c r="E34" s="5"/>
      <c r="F34" s="5"/>
      <c r="G34" s="5"/>
      <c r="H34" s="5"/>
      <c r="I34" s="5"/>
      <c r="J34" s="5"/>
      <c r="K34" s="20"/>
      <c r="L34" s="20"/>
      <c r="M34" s="20"/>
      <c r="N34" s="20"/>
    </row>
    <row r="35" spans="2:14" x14ac:dyDescent="0.3">
      <c r="D35" s="5"/>
      <c r="I35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opLeftCell="A7" zoomScale="90" zoomScaleNormal="90" workbookViewId="0">
      <selection activeCell="J34" sqref="J34"/>
    </sheetView>
  </sheetViews>
  <sheetFormatPr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1.109375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10.5546875" style="4" bestFit="1" customWidth="1"/>
    <col min="13" max="13" width="8.88671875" style="4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45839</v>
      </c>
      <c r="B3" s="14">
        <f>6255</f>
        <v>6255</v>
      </c>
      <c r="C3" s="9">
        <f t="shared" ref="C3:C34" si="0">B3/1.1</f>
        <v>5686.363636363636</v>
      </c>
      <c r="D3" s="9">
        <f t="shared" ref="D3:D33" si="1">C3*0.1</f>
        <v>568.63636363636363</v>
      </c>
      <c r="E3" s="14">
        <f>24805</f>
        <v>24805</v>
      </c>
      <c r="F3" s="9">
        <f t="shared" ref="F3:F34" si="2">E3/1.1</f>
        <v>22549.999999999996</v>
      </c>
      <c r="G3" s="9">
        <f t="shared" ref="G3:G33" si="3">F3*0.1</f>
        <v>2254.9999999999995</v>
      </c>
      <c r="H3" s="14">
        <f>5545</f>
        <v>5545</v>
      </c>
      <c r="I3" s="14">
        <f>23960</f>
        <v>23960</v>
      </c>
      <c r="J3" s="14">
        <v>1120</v>
      </c>
      <c r="K3" s="18">
        <v>0</v>
      </c>
      <c r="L3" s="18">
        <v>0</v>
      </c>
      <c r="M3" s="18">
        <v>0</v>
      </c>
      <c r="N3" s="17">
        <v>435</v>
      </c>
    </row>
    <row r="4" spans="1:14" x14ac:dyDescent="0.3">
      <c r="A4" s="7">
        <v>45840</v>
      </c>
      <c r="B4" s="14">
        <v>4940</v>
      </c>
      <c r="C4" s="9">
        <f t="shared" si="0"/>
        <v>4490.909090909091</v>
      </c>
      <c r="D4" s="9">
        <f t="shared" si="1"/>
        <v>449.09090909090912</v>
      </c>
      <c r="E4" s="14">
        <v>25375</v>
      </c>
      <c r="F4" s="9">
        <f t="shared" si="2"/>
        <v>23068.181818181816</v>
      </c>
      <c r="G4" s="9">
        <f t="shared" si="3"/>
        <v>2306.8181818181815</v>
      </c>
      <c r="H4" s="14">
        <v>6145</v>
      </c>
      <c r="I4" s="14">
        <v>22620</v>
      </c>
      <c r="J4" s="14">
        <v>1130</v>
      </c>
      <c r="K4" s="18">
        <v>0</v>
      </c>
      <c r="L4" s="18">
        <v>0</v>
      </c>
      <c r="M4" s="17">
        <v>1335</v>
      </c>
      <c r="N4" s="17">
        <v>420</v>
      </c>
    </row>
    <row r="5" spans="1:14" x14ac:dyDescent="0.3">
      <c r="A5" s="7">
        <v>45841</v>
      </c>
      <c r="B5" s="14">
        <v>6205</v>
      </c>
      <c r="C5" s="9">
        <f t="shared" si="0"/>
        <v>5640.9090909090901</v>
      </c>
      <c r="D5" s="9">
        <f t="shared" si="1"/>
        <v>564.09090909090901</v>
      </c>
      <c r="E5" s="14">
        <v>27140.5</v>
      </c>
      <c r="F5" s="9">
        <f t="shared" si="2"/>
        <v>24673.181818181816</v>
      </c>
      <c r="G5" s="9">
        <f t="shared" si="3"/>
        <v>2467.318181818182</v>
      </c>
      <c r="H5" s="14">
        <v>8399</v>
      </c>
      <c r="I5" s="14">
        <v>24056.5</v>
      </c>
      <c r="J5" s="14">
        <v>360</v>
      </c>
      <c r="K5" s="18">
        <v>0</v>
      </c>
      <c r="L5" s="17">
        <v>90</v>
      </c>
      <c r="M5" s="17">
        <v>180</v>
      </c>
      <c r="N5" s="17">
        <v>530</v>
      </c>
    </row>
    <row r="6" spans="1:14" x14ac:dyDescent="0.3">
      <c r="A6" s="7">
        <v>45842</v>
      </c>
      <c r="B6" s="14">
        <v>7720</v>
      </c>
      <c r="C6" s="9">
        <f t="shared" si="0"/>
        <v>7018.181818181818</v>
      </c>
      <c r="D6" s="9">
        <f t="shared" si="1"/>
        <v>701.81818181818187</v>
      </c>
      <c r="E6" s="14">
        <v>30094</v>
      </c>
      <c r="F6" s="9">
        <f t="shared" si="2"/>
        <v>27358.181818181816</v>
      </c>
      <c r="G6" s="9">
        <f t="shared" si="3"/>
        <v>2735.818181818182</v>
      </c>
      <c r="H6" s="14">
        <v>5725</v>
      </c>
      <c r="I6" s="14">
        <v>29879</v>
      </c>
      <c r="J6" s="14">
        <v>1690</v>
      </c>
      <c r="K6" s="17">
        <v>710</v>
      </c>
      <c r="L6" s="18">
        <v>0</v>
      </c>
      <c r="M6" s="17">
        <v>570</v>
      </c>
      <c r="N6" s="17">
        <v>520</v>
      </c>
    </row>
    <row r="7" spans="1:14" x14ac:dyDescent="0.3">
      <c r="A7" s="7">
        <v>45843</v>
      </c>
      <c r="B7" s="14">
        <v>6835</v>
      </c>
      <c r="C7" s="9">
        <f t="shared" si="0"/>
        <v>6213.6363636363631</v>
      </c>
      <c r="D7" s="9">
        <f t="shared" si="1"/>
        <v>621.36363636363637</v>
      </c>
      <c r="E7" s="14">
        <v>38354.5</v>
      </c>
      <c r="F7" s="9">
        <f t="shared" si="2"/>
        <v>34867.727272727272</v>
      </c>
      <c r="G7" s="9">
        <f t="shared" si="3"/>
        <v>3486.7727272727275</v>
      </c>
      <c r="H7" s="14">
        <v>8232.5</v>
      </c>
      <c r="I7" s="14">
        <v>34242</v>
      </c>
      <c r="J7" s="14">
        <v>2715</v>
      </c>
      <c r="K7" s="18">
        <v>0</v>
      </c>
      <c r="L7" s="17">
        <v>65</v>
      </c>
      <c r="M7" s="17">
        <v>820</v>
      </c>
      <c r="N7" s="18">
        <v>0</v>
      </c>
    </row>
    <row r="8" spans="1:14" x14ac:dyDescent="0.3">
      <c r="A8" s="7">
        <v>45844</v>
      </c>
      <c r="B8" s="14">
        <v>3270</v>
      </c>
      <c r="C8" s="9">
        <f t="shared" si="0"/>
        <v>2972.7272727272725</v>
      </c>
      <c r="D8" s="9">
        <f t="shared" si="1"/>
        <v>297.27272727272725</v>
      </c>
      <c r="E8" s="14">
        <v>25285</v>
      </c>
      <c r="F8" s="9">
        <f t="shared" si="2"/>
        <v>22986.363636363636</v>
      </c>
      <c r="G8" s="9">
        <f t="shared" si="3"/>
        <v>2298.6363636363635</v>
      </c>
      <c r="H8" s="14">
        <v>5565</v>
      </c>
      <c r="I8" s="14">
        <v>21670</v>
      </c>
      <c r="J8" s="14">
        <v>1120</v>
      </c>
      <c r="K8" s="18">
        <v>0</v>
      </c>
      <c r="L8" s="18">
        <v>0</v>
      </c>
      <c r="M8" s="18">
        <v>0</v>
      </c>
      <c r="N8" s="17">
        <v>200</v>
      </c>
    </row>
    <row r="9" spans="1:14" x14ac:dyDescent="0.3">
      <c r="A9" s="7">
        <v>45845</v>
      </c>
      <c r="B9" s="14">
        <v>4290</v>
      </c>
      <c r="C9" s="9">
        <f t="shared" si="0"/>
        <v>3899.9999999999995</v>
      </c>
      <c r="D9" s="9">
        <f t="shared" si="1"/>
        <v>390</v>
      </c>
      <c r="E9" s="14">
        <v>18620</v>
      </c>
      <c r="F9" s="9">
        <f t="shared" si="2"/>
        <v>16927.272727272724</v>
      </c>
      <c r="G9" s="9">
        <f t="shared" si="3"/>
        <v>1692.7272727272725</v>
      </c>
      <c r="H9" s="14">
        <v>5180</v>
      </c>
      <c r="I9" s="14">
        <v>16145</v>
      </c>
      <c r="J9" s="14">
        <v>1585</v>
      </c>
      <c r="K9" s="17">
        <v>420</v>
      </c>
      <c r="L9" s="18">
        <v>0</v>
      </c>
      <c r="M9" s="17">
        <v>400</v>
      </c>
      <c r="N9" s="18">
        <v>0</v>
      </c>
    </row>
    <row r="10" spans="1:14" x14ac:dyDescent="0.3">
      <c r="A10" s="7">
        <v>45846</v>
      </c>
      <c r="B10" s="14">
        <v>3961.31</v>
      </c>
      <c r="C10" s="9">
        <f t="shared" si="0"/>
        <v>3601.1909090909089</v>
      </c>
      <c r="D10" s="9">
        <f t="shared" si="1"/>
        <v>360.11909090909091</v>
      </c>
      <c r="E10" s="14">
        <v>23153.69</v>
      </c>
      <c r="F10" s="9">
        <f t="shared" si="2"/>
        <v>21048.80909090909</v>
      </c>
      <c r="G10" s="9">
        <f t="shared" si="3"/>
        <v>2104.880909090909</v>
      </c>
      <c r="H10" s="14">
        <v>5185</v>
      </c>
      <c r="I10" s="14">
        <v>21350</v>
      </c>
      <c r="J10" s="14">
        <v>260</v>
      </c>
      <c r="K10" s="18">
        <v>0</v>
      </c>
      <c r="L10" s="18">
        <v>0</v>
      </c>
      <c r="M10" s="17">
        <v>350</v>
      </c>
      <c r="N10" s="17">
        <v>320</v>
      </c>
    </row>
    <row r="11" spans="1:14" x14ac:dyDescent="0.3">
      <c r="A11" s="7">
        <v>45847</v>
      </c>
      <c r="B11" s="14">
        <v>6227</v>
      </c>
      <c r="C11" s="9">
        <f t="shared" si="0"/>
        <v>5660.9090909090901</v>
      </c>
      <c r="D11" s="9">
        <f t="shared" si="1"/>
        <v>566.09090909090901</v>
      </c>
      <c r="E11" s="14">
        <v>26325.5</v>
      </c>
      <c r="F11" s="9">
        <f t="shared" si="2"/>
        <v>23932.272727272724</v>
      </c>
      <c r="G11" s="9">
        <f t="shared" si="3"/>
        <v>2393.2272727272725</v>
      </c>
      <c r="H11" s="14">
        <v>5925</v>
      </c>
      <c r="I11" s="14">
        <v>25517.5</v>
      </c>
      <c r="J11" s="14">
        <v>1110</v>
      </c>
      <c r="K11" s="18">
        <v>0</v>
      </c>
      <c r="L11" s="17">
        <v>130</v>
      </c>
      <c r="M11" s="17">
        <v>620</v>
      </c>
      <c r="N11" s="18">
        <v>0</v>
      </c>
    </row>
    <row r="12" spans="1:14" x14ac:dyDescent="0.3">
      <c r="A12" s="7">
        <v>45848</v>
      </c>
      <c r="B12" s="14">
        <v>3930</v>
      </c>
      <c r="C12" s="9">
        <f t="shared" si="0"/>
        <v>3572.7272727272725</v>
      </c>
      <c r="D12" s="9">
        <f t="shared" si="1"/>
        <v>357.27272727272725</v>
      </c>
      <c r="E12" s="14">
        <v>21517.5</v>
      </c>
      <c r="F12" s="9">
        <f t="shared" si="2"/>
        <v>19561.363636363636</v>
      </c>
      <c r="G12" s="9">
        <f t="shared" si="3"/>
        <v>1956.1363636363637</v>
      </c>
      <c r="H12" s="14">
        <v>5740</v>
      </c>
      <c r="I12" s="14">
        <v>19192.5</v>
      </c>
      <c r="J12" s="14">
        <v>300</v>
      </c>
      <c r="K12" s="18">
        <v>0</v>
      </c>
      <c r="L12" s="18">
        <v>0</v>
      </c>
      <c r="M12" s="17">
        <v>380</v>
      </c>
      <c r="N12" s="17">
        <v>215</v>
      </c>
    </row>
    <row r="13" spans="1:14" x14ac:dyDescent="0.3">
      <c r="A13" s="7">
        <v>45849</v>
      </c>
      <c r="B13" s="14">
        <v>2922.86</v>
      </c>
      <c r="C13" s="9">
        <f t="shared" si="0"/>
        <v>2657.1454545454544</v>
      </c>
      <c r="D13" s="9">
        <f t="shared" si="1"/>
        <v>265.71454545454543</v>
      </c>
      <c r="E13" s="14">
        <v>24337.14</v>
      </c>
      <c r="F13" s="9">
        <f t="shared" si="2"/>
        <v>22124.672727272726</v>
      </c>
      <c r="G13" s="9">
        <f t="shared" si="3"/>
        <v>2212.4672727272728</v>
      </c>
      <c r="H13" s="14">
        <v>4580</v>
      </c>
      <c r="I13" s="14">
        <v>18475</v>
      </c>
      <c r="J13" s="14">
        <v>3865</v>
      </c>
      <c r="K13" s="18">
        <v>0</v>
      </c>
      <c r="L13" s="18">
        <v>0</v>
      </c>
      <c r="M13" s="17">
        <v>1110</v>
      </c>
      <c r="N13" s="17">
        <v>340</v>
      </c>
    </row>
    <row r="14" spans="1:14" x14ac:dyDescent="0.3">
      <c r="A14" s="7">
        <v>45850</v>
      </c>
      <c r="B14" s="14">
        <v>2995</v>
      </c>
      <c r="C14" s="9">
        <f t="shared" si="0"/>
        <v>2722.7272727272725</v>
      </c>
      <c r="D14" s="9">
        <f t="shared" si="1"/>
        <v>272.27272727272725</v>
      </c>
      <c r="E14" s="14">
        <v>20921</v>
      </c>
      <c r="F14" s="9">
        <f t="shared" si="2"/>
        <v>19019.090909090908</v>
      </c>
      <c r="G14" s="9">
        <f t="shared" si="3"/>
        <v>1901.909090909091</v>
      </c>
      <c r="H14" s="14">
        <v>6141</v>
      </c>
      <c r="I14" s="14">
        <v>16695</v>
      </c>
      <c r="J14" s="14">
        <v>320</v>
      </c>
      <c r="K14" s="18">
        <v>0</v>
      </c>
      <c r="L14" s="17">
        <v>90</v>
      </c>
      <c r="M14" s="17">
        <v>360</v>
      </c>
      <c r="N14" s="17">
        <v>760</v>
      </c>
    </row>
    <row r="15" spans="1:14" x14ac:dyDescent="0.3">
      <c r="A15" s="7">
        <v>45851</v>
      </c>
      <c r="B15" s="14">
        <v>4265</v>
      </c>
      <c r="C15" s="9">
        <f t="shared" si="0"/>
        <v>3877.272727272727</v>
      </c>
      <c r="D15" s="9">
        <f t="shared" si="1"/>
        <v>387.72727272727275</v>
      </c>
      <c r="E15" s="14">
        <v>19052</v>
      </c>
      <c r="F15" s="9">
        <f t="shared" si="2"/>
        <v>17320</v>
      </c>
      <c r="G15" s="9">
        <f t="shared" si="3"/>
        <v>1732</v>
      </c>
      <c r="H15" s="14">
        <v>5717</v>
      </c>
      <c r="I15" s="14">
        <v>15930</v>
      </c>
      <c r="J15" s="14">
        <v>1085</v>
      </c>
      <c r="K15" s="17">
        <v>130</v>
      </c>
      <c r="L15" s="18">
        <v>0</v>
      </c>
      <c r="M15" s="17">
        <v>260</v>
      </c>
      <c r="N15" s="17">
        <v>585</v>
      </c>
    </row>
    <row r="16" spans="1:14" x14ac:dyDescent="0.3">
      <c r="A16" s="7">
        <v>45852</v>
      </c>
      <c r="B16" s="9">
        <v>0</v>
      </c>
      <c r="C16" s="9">
        <f t="shared" si="0"/>
        <v>0</v>
      </c>
      <c r="D16" s="9">
        <f t="shared" si="1"/>
        <v>0</v>
      </c>
      <c r="E16" s="14">
        <v>26877.5</v>
      </c>
      <c r="F16" s="9">
        <v>24434.09</v>
      </c>
      <c r="G16" s="9">
        <f t="shared" si="3"/>
        <v>2443.4090000000001</v>
      </c>
      <c r="H16" s="14">
        <v>4797.5</v>
      </c>
      <c r="I16" s="14">
        <v>21420</v>
      </c>
      <c r="J16" s="9">
        <v>0</v>
      </c>
      <c r="K16" s="17">
        <v>130</v>
      </c>
      <c r="L16" s="17">
        <v>0</v>
      </c>
      <c r="M16" s="17">
        <v>360</v>
      </c>
      <c r="N16" s="17">
        <v>1260</v>
      </c>
    </row>
    <row r="17" spans="1:14" x14ac:dyDescent="0.3">
      <c r="A17" s="7">
        <v>45853</v>
      </c>
      <c r="B17" s="14">
        <v>6200</v>
      </c>
      <c r="C17" s="9">
        <f t="shared" si="0"/>
        <v>5636.363636363636</v>
      </c>
      <c r="D17" s="9">
        <f t="shared" si="1"/>
        <v>563.63636363636363</v>
      </c>
      <c r="E17" s="14">
        <v>21577.5</v>
      </c>
      <c r="F17" s="9">
        <f t="shared" si="2"/>
        <v>19615.909090909088</v>
      </c>
      <c r="G17" s="9">
        <f t="shared" si="3"/>
        <v>1961.590909090909</v>
      </c>
      <c r="H17" s="14">
        <v>6285</v>
      </c>
      <c r="I17" s="14">
        <v>20592.5</v>
      </c>
      <c r="J17" s="9">
        <v>0</v>
      </c>
      <c r="K17" s="17">
        <v>350</v>
      </c>
      <c r="L17" s="17">
        <v>322.5</v>
      </c>
      <c r="M17" s="18">
        <v>0</v>
      </c>
      <c r="N17" s="17">
        <v>900</v>
      </c>
    </row>
    <row r="18" spans="1:14" x14ac:dyDescent="0.3">
      <c r="A18" s="7">
        <v>45854</v>
      </c>
      <c r="B18" s="14">
        <v>4634</v>
      </c>
      <c r="C18" s="9">
        <f t="shared" si="0"/>
        <v>4212.7272727272721</v>
      </c>
      <c r="D18" s="9">
        <f t="shared" si="1"/>
        <v>421.27272727272725</v>
      </c>
      <c r="E18" s="14">
        <v>24656</v>
      </c>
      <c r="F18" s="9">
        <f t="shared" si="2"/>
        <v>22414.545454545452</v>
      </c>
      <c r="G18" s="9">
        <f t="shared" si="3"/>
        <v>2241.4545454545455</v>
      </c>
      <c r="H18" s="14">
        <v>5900</v>
      </c>
      <c r="I18" s="14">
        <v>22454</v>
      </c>
      <c r="J18" s="14">
        <v>606</v>
      </c>
      <c r="K18" s="17">
        <v>170</v>
      </c>
      <c r="L18" s="18">
        <v>0</v>
      </c>
      <c r="M18" s="17">
        <v>325</v>
      </c>
      <c r="N18" s="17">
        <v>330</v>
      </c>
    </row>
    <row r="19" spans="1:14" x14ac:dyDescent="0.3">
      <c r="A19" s="7">
        <v>45855</v>
      </c>
      <c r="B19" s="14">
        <v>3882.5</v>
      </c>
      <c r="C19" s="9">
        <f t="shared" si="0"/>
        <v>3529.545454545454</v>
      </c>
      <c r="D19" s="9">
        <f t="shared" si="1"/>
        <v>352.95454545454544</v>
      </c>
      <c r="E19" s="14">
        <v>23603.5</v>
      </c>
      <c r="F19" s="9">
        <f t="shared" si="2"/>
        <v>21457.727272727272</v>
      </c>
      <c r="G19" s="9">
        <f t="shared" si="3"/>
        <v>2145.7727272727275</v>
      </c>
      <c r="H19" s="14">
        <v>4195</v>
      </c>
      <c r="I19" s="14">
        <v>21331</v>
      </c>
      <c r="J19" s="14">
        <v>1960</v>
      </c>
      <c r="K19" s="17">
        <v>320</v>
      </c>
      <c r="L19" s="17">
        <v>75</v>
      </c>
      <c r="M19" s="17">
        <v>110</v>
      </c>
      <c r="N19" s="18">
        <v>0</v>
      </c>
    </row>
    <row r="20" spans="1:14" x14ac:dyDescent="0.3">
      <c r="A20" s="7">
        <v>45856</v>
      </c>
      <c r="B20" s="14">
        <v>4540</v>
      </c>
      <c r="C20" s="9">
        <f t="shared" si="0"/>
        <v>4127.272727272727</v>
      </c>
      <c r="D20" s="9">
        <f t="shared" si="1"/>
        <v>412.72727272727275</v>
      </c>
      <c r="E20" s="14">
        <v>20548.5</v>
      </c>
      <c r="F20" s="9">
        <f t="shared" si="2"/>
        <v>18680.454545454544</v>
      </c>
      <c r="G20" s="9">
        <f t="shared" si="3"/>
        <v>1868.0454545454545</v>
      </c>
      <c r="H20" s="14">
        <v>3982.5</v>
      </c>
      <c r="I20" s="14">
        <v>19181</v>
      </c>
      <c r="J20" s="14">
        <v>1710</v>
      </c>
      <c r="K20" s="18">
        <v>0</v>
      </c>
      <c r="L20" s="18">
        <v>0</v>
      </c>
      <c r="M20" s="17">
        <v>360</v>
      </c>
      <c r="N20" s="17">
        <v>215</v>
      </c>
    </row>
    <row r="21" spans="1:14" x14ac:dyDescent="0.3">
      <c r="A21" s="7">
        <v>45857</v>
      </c>
      <c r="B21" s="14">
        <f>4120</f>
        <v>4120</v>
      </c>
      <c r="C21" s="9">
        <f t="shared" si="0"/>
        <v>3745.454545454545</v>
      </c>
      <c r="D21" s="9">
        <f t="shared" si="1"/>
        <v>374.5454545454545</v>
      </c>
      <c r="E21" s="14">
        <f>26982.5+180</f>
        <v>27162.5</v>
      </c>
      <c r="F21" s="9">
        <f t="shared" si="2"/>
        <v>24693.181818181816</v>
      </c>
      <c r="G21" s="9">
        <f t="shared" si="3"/>
        <v>2469.318181818182</v>
      </c>
      <c r="H21" s="14">
        <f>4055</f>
        <v>4055</v>
      </c>
      <c r="I21" s="14">
        <f>180+24820</f>
        <v>25000</v>
      </c>
      <c r="J21" s="14">
        <v>2227.5</v>
      </c>
      <c r="K21" s="18">
        <v>0</v>
      </c>
      <c r="L21" s="17">
        <v>190</v>
      </c>
      <c r="M21" s="18">
        <v>0</v>
      </c>
      <c r="N21" s="18">
        <v>0</v>
      </c>
    </row>
    <row r="22" spans="1:14" x14ac:dyDescent="0.3">
      <c r="A22" s="7">
        <v>45858</v>
      </c>
      <c r="B22" s="14">
        <v>5190</v>
      </c>
      <c r="C22" s="9">
        <f t="shared" si="0"/>
        <v>4718.181818181818</v>
      </c>
      <c r="D22" s="9">
        <f t="shared" si="1"/>
        <v>471.81818181818181</v>
      </c>
      <c r="E22" s="14">
        <v>24288</v>
      </c>
      <c r="F22" s="9">
        <f t="shared" si="2"/>
        <v>22080</v>
      </c>
      <c r="G22" s="9">
        <f t="shared" si="3"/>
        <v>2208</v>
      </c>
      <c r="H22" s="14">
        <v>5300</v>
      </c>
      <c r="I22" s="14">
        <v>20478</v>
      </c>
      <c r="J22" s="14">
        <v>2110</v>
      </c>
      <c r="K22" s="17">
        <v>150</v>
      </c>
      <c r="L22" s="17">
        <v>390</v>
      </c>
      <c r="M22" s="18">
        <v>0</v>
      </c>
      <c r="N22" s="17">
        <v>1590</v>
      </c>
    </row>
    <row r="23" spans="1:14" x14ac:dyDescent="0.3">
      <c r="A23" s="7">
        <v>45859</v>
      </c>
      <c r="B23" s="14">
        <v>1620</v>
      </c>
      <c r="C23" s="9">
        <f t="shared" si="0"/>
        <v>1472.7272727272725</v>
      </c>
      <c r="D23" s="9">
        <f t="shared" si="1"/>
        <v>147.27272727272725</v>
      </c>
      <c r="E23" s="14">
        <v>19225</v>
      </c>
      <c r="F23" s="9">
        <f t="shared" si="2"/>
        <v>17477.272727272724</v>
      </c>
      <c r="G23" s="9">
        <f t="shared" si="3"/>
        <v>1747.7272727272725</v>
      </c>
      <c r="H23" s="14">
        <v>4180</v>
      </c>
      <c r="I23" s="14">
        <v>15290</v>
      </c>
      <c r="J23" s="14">
        <v>800</v>
      </c>
      <c r="K23" s="18">
        <v>0</v>
      </c>
      <c r="L23" s="18">
        <v>0</v>
      </c>
      <c r="M23" s="17">
        <v>504</v>
      </c>
      <c r="N23" s="17">
        <v>575</v>
      </c>
    </row>
    <row r="24" spans="1:14" x14ac:dyDescent="0.3">
      <c r="A24" s="7">
        <v>45860</v>
      </c>
      <c r="B24" s="14">
        <v>4830</v>
      </c>
      <c r="C24" s="9">
        <f t="shared" si="0"/>
        <v>4390.909090909091</v>
      </c>
      <c r="D24" s="9">
        <f t="shared" si="1"/>
        <v>439.09090909090912</v>
      </c>
      <c r="E24" s="14">
        <v>19432.5</v>
      </c>
      <c r="F24" s="9">
        <f t="shared" si="2"/>
        <v>17665.909090909088</v>
      </c>
      <c r="G24" s="9">
        <f t="shared" si="3"/>
        <v>1766.590909090909</v>
      </c>
      <c r="H24" s="14">
        <v>2777.5</v>
      </c>
      <c r="I24" s="14">
        <v>17240</v>
      </c>
      <c r="J24" s="14">
        <v>3195</v>
      </c>
      <c r="K24" s="18">
        <v>0</v>
      </c>
      <c r="L24" s="18">
        <v>0</v>
      </c>
      <c r="M24" s="18">
        <v>0</v>
      </c>
      <c r="N24" s="17">
        <v>1050</v>
      </c>
    </row>
    <row r="25" spans="1:14" x14ac:dyDescent="0.3">
      <c r="A25" s="7">
        <v>45861</v>
      </c>
      <c r="B25" s="14">
        <v>4558</v>
      </c>
      <c r="C25" s="9">
        <f t="shared" si="0"/>
        <v>4143.6363636363631</v>
      </c>
      <c r="D25" s="9">
        <f t="shared" si="1"/>
        <v>414.36363636363632</v>
      </c>
      <c r="E25" s="14">
        <v>25721</v>
      </c>
      <c r="F25" s="9">
        <f t="shared" si="2"/>
        <v>23382.727272727272</v>
      </c>
      <c r="G25" s="9">
        <f t="shared" si="3"/>
        <v>2338.2727272727275</v>
      </c>
      <c r="H25" s="14">
        <v>3130</v>
      </c>
      <c r="I25" s="14">
        <v>24350</v>
      </c>
      <c r="J25" s="14">
        <v>1399</v>
      </c>
      <c r="K25" s="18">
        <v>0</v>
      </c>
      <c r="L25" s="18">
        <v>0</v>
      </c>
      <c r="M25" s="17">
        <v>310</v>
      </c>
      <c r="N25" s="17">
        <v>1400</v>
      </c>
    </row>
    <row r="26" spans="1:14" x14ac:dyDescent="0.3">
      <c r="A26" s="7">
        <v>45862</v>
      </c>
      <c r="B26" s="14">
        <v>4885</v>
      </c>
      <c r="C26" s="9">
        <f t="shared" si="0"/>
        <v>4440.909090909091</v>
      </c>
      <c r="D26" s="9">
        <f t="shared" si="1"/>
        <v>444.09090909090912</v>
      </c>
      <c r="E26" s="14">
        <v>25960</v>
      </c>
      <c r="F26" s="9">
        <f t="shared" si="2"/>
        <v>23599.999999999996</v>
      </c>
      <c r="G26" s="9">
        <f t="shared" si="3"/>
        <v>2359.9999999999995</v>
      </c>
      <c r="H26" s="14">
        <v>6085</v>
      </c>
      <c r="I26" s="14">
        <v>21585</v>
      </c>
      <c r="J26" s="14">
        <v>1840</v>
      </c>
      <c r="K26" s="18">
        <v>0</v>
      </c>
      <c r="L26" s="17">
        <v>260</v>
      </c>
      <c r="M26" s="17">
        <v>220</v>
      </c>
      <c r="N26" s="17">
        <v>1335</v>
      </c>
    </row>
    <row r="27" spans="1:14" x14ac:dyDescent="0.3">
      <c r="A27" s="7">
        <v>45863</v>
      </c>
      <c r="B27" s="14">
        <v>4970</v>
      </c>
      <c r="C27" s="9">
        <f t="shared" si="0"/>
        <v>4518.181818181818</v>
      </c>
      <c r="D27" s="9">
        <f t="shared" si="1"/>
        <v>451.81818181818181</v>
      </c>
      <c r="E27" s="14">
        <v>24530</v>
      </c>
      <c r="F27" s="9">
        <f t="shared" si="2"/>
        <v>22300</v>
      </c>
      <c r="G27" s="9">
        <f t="shared" si="3"/>
        <v>2230</v>
      </c>
      <c r="H27" s="14">
        <v>6545</v>
      </c>
      <c r="I27" s="14">
        <v>20930</v>
      </c>
      <c r="J27" s="14">
        <v>1105</v>
      </c>
      <c r="K27" s="17">
        <v>470</v>
      </c>
      <c r="L27" s="18">
        <v>0</v>
      </c>
      <c r="M27" s="18">
        <v>0</v>
      </c>
      <c r="N27" s="17">
        <v>920</v>
      </c>
    </row>
    <row r="28" spans="1:14" x14ac:dyDescent="0.3">
      <c r="A28" s="7">
        <v>45864</v>
      </c>
      <c r="B28" s="14">
        <v>4380</v>
      </c>
      <c r="C28" s="9">
        <f t="shared" si="0"/>
        <v>3981.8181818181815</v>
      </c>
      <c r="D28" s="9">
        <f t="shared" si="1"/>
        <v>398.18181818181819</v>
      </c>
      <c r="E28" s="14">
        <v>26312.5</v>
      </c>
      <c r="F28" s="9">
        <f t="shared" si="2"/>
        <v>23920.454545454544</v>
      </c>
      <c r="G28" s="9">
        <f t="shared" si="3"/>
        <v>2392.0454545454545</v>
      </c>
      <c r="H28" s="14">
        <v>6185</v>
      </c>
      <c r="I28" s="14">
        <v>22327.5</v>
      </c>
      <c r="J28" s="14">
        <v>1910</v>
      </c>
      <c r="K28" s="18">
        <v>0</v>
      </c>
      <c r="L28" s="17">
        <v>285</v>
      </c>
      <c r="M28" s="17">
        <v>600</v>
      </c>
      <c r="N28" s="17">
        <v>270</v>
      </c>
    </row>
    <row r="29" spans="1:14" x14ac:dyDescent="0.3">
      <c r="A29" s="7">
        <v>45865</v>
      </c>
      <c r="B29" s="14">
        <v>3494</v>
      </c>
      <c r="C29" s="9">
        <f t="shared" si="0"/>
        <v>3176.363636363636</v>
      </c>
      <c r="D29" s="9">
        <f t="shared" si="1"/>
        <v>317.63636363636363</v>
      </c>
      <c r="E29" s="14">
        <v>27947.5</v>
      </c>
      <c r="F29" s="9">
        <f t="shared" si="2"/>
        <v>25406.81818181818</v>
      </c>
      <c r="G29" s="9">
        <f t="shared" si="3"/>
        <v>2540.681818181818</v>
      </c>
      <c r="H29" s="14">
        <v>8472.5</v>
      </c>
      <c r="I29" s="14">
        <v>22644</v>
      </c>
      <c r="J29" s="14">
        <v>325</v>
      </c>
      <c r="K29" s="17">
        <v>190</v>
      </c>
      <c r="L29" s="17">
        <v>90</v>
      </c>
      <c r="M29" s="18">
        <v>0</v>
      </c>
      <c r="N29" s="18">
        <v>0</v>
      </c>
    </row>
    <row r="30" spans="1:14" x14ac:dyDescent="0.3">
      <c r="A30" s="7">
        <v>45866</v>
      </c>
      <c r="B30" s="14">
        <v>2595</v>
      </c>
      <c r="C30" s="9">
        <f t="shared" si="0"/>
        <v>2359.090909090909</v>
      </c>
      <c r="D30" s="9">
        <f t="shared" si="1"/>
        <v>235.90909090909091</v>
      </c>
      <c r="E30" s="14">
        <v>21900</v>
      </c>
      <c r="F30" s="9">
        <f t="shared" si="2"/>
        <v>19909.090909090908</v>
      </c>
      <c r="G30" s="9">
        <f t="shared" si="3"/>
        <v>1990.909090909091</v>
      </c>
      <c r="H30" s="14">
        <v>6615</v>
      </c>
      <c r="I30" s="14">
        <v>16695</v>
      </c>
      <c r="J30" s="14">
        <v>1185</v>
      </c>
      <c r="K30" s="17">
        <v>220</v>
      </c>
      <c r="L30" s="18">
        <v>0</v>
      </c>
      <c r="M30" s="18">
        <v>0</v>
      </c>
      <c r="N30" s="18">
        <v>0</v>
      </c>
    </row>
    <row r="31" spans="1:14" x14ac:dyDescent="0.3">
      <c r="A31" s="7">
        <v>45867</v>
      </c>
      <c r="B31" s="14">
        <v>5135</v>
      </c>
      <c r="C31" s="9">
        <f t="shared" si="0"/>
        <v>4668.181818181818</v>
      </c>
      <c r="D31" s="9">
        <f t="shared" si="1"/>
        <v>466.81818181818181</v>
      </c>
      <c r="E31" s="14">
        <v>21317.5</v>
      </c>
      <c r="F31" s="9">
        <f t="shared" si="2"/>
        <v>19379.545454545452</v>
      </c>
      <c r="G31" s="9">
        <f t="shared" si="3"/>
        <v>1937.9545454545453</v>
      </c>
      <c r="H31" s="14">
        <v>4322.5</v>
      </c>
      <c r="I31" s="14">
        <v>20140</v>
      </c>
      <c r="J31" s="14">
        <v>1860</v>
      </c>
      <c r="K31" s="18">
        <v>0</v>
      </c>
      <c r="L31" s="18">
        <v>0</v>
      </c>
      <c r="M31" s="18">
        <v>0</v>
      </c>
      <c r="N31" s="17">
        <v>130</v>
      </c>
    </row>
    <row r="32" spans="1:14" x14ac:dyDescent="0.3">
      <c r="A32" s="7">
        <v>45868</v>
      </c>
      <c r="B32" s="14">
        <v>3185</v>
      </c>
      <c r="C32" s="9">
        <f t="shared" si="0"/>
        <v>2895.454545454545</v>
      </c>
      <c r="D32" s="9">
        <f t="shared" si="1"/>
        <v>289.5454545454545</v>
      </c>
      <c r="E32" s="14">
        <v>22120</v>
      </c>
      <c r="F32" s="9">
        <f t="shared" si="2"/>
        <v>20109.090909090908</v>
      </c>
      <c r="G32" s="9">
        <f t="shared" si="3"/>
        <v>2010.909090909091</v>
      </c>
      <c r="H32" s="14">
        <v>3470</v>
      </c>
      <c r="I32" s="14">
        <v>20685</v>
      </c>
      <c r="J32" s="14">
        <v>765</v>
      </c>
      <c r="K32" s="18">
        <v>0</v>
      </c>
      <c r="L32" s="17">
        <v>117.5</v>
      </c>
      <c r="M32" s="17">
        <v>310</v>
      </c>
      <c r="N32" s="17">
        <v>385</v>
      </c>
    </row>
    <row r="33" spans="1:14" x14ac:dyDescent="0.3">
      <c r="A33" s="7">
        <v>45869</v>
      </c>
      <c r="B33" s="14">
        <v>4315</v>
      </c>
      <c r="C33" s="9">
        <f t="shared" si="0"/>
        <v>3922.7272727272725</v>
      </c>
      <c r="D33" s="9">
        <f t="shared" si="1"/>
        <v>392.27272727272725</v>
      </c>
      <c r="E33" s="14">
        <v>24590</v>
      </c>
      <c r="F33" s="9">
        <f t="shared" si="2"/>
        <v>22354.545454545452</v>
      </c>
      <c r="G33" s="9">
        <f t="shared" si="3"/>
        <v>2235.4545454545455</v>
      </c>
      <c r="H33" s="14">
        <v>6310</v>
      </c>
      <c r="I33" s="14">
        <v>21495</v>
      </c>
      <c r="J33" s="14">
        <v>765</v>
      </c>
      <c r="K33" s="18">
        <v>0</v>
      </c>
      <c r="L33" s="18">
        <v>0</v>
      </c>
      <c r="M33" s="18">
        <v>0</v>
      </c>
      <c r="N33" s="17">
        <v>335</v>
      </c>
    </row>
    <row r="34" spans="1:14" x14ac:dyDescent="0.3">
      <c r="B34" s="6">
        <f>SUM(B3:B33)</f>
        <v>136349.66999999998</v>
      </c>
      <c r="C34" s="8">
        <f t="shared" si="0"/>
        <v>123954.24545454542</v>
      </c>
      <c r="D34" s="8">
        <f t="shared" ref="D34" si="4">C34*10/100</f>
        <v>12395.424545454542</v>
      </c>
      <c r="E34" s="6">
        <f>SUM(E3:E33)</f>
        <v>752750.33000000007</v>
      </c>
      <c r="F34" s="8">
        <f t="shared" si="2"/>
        <v>684318.48181818181</v>
      </c>
      <c r="G34" s="8">
        <f t="shared" ref="G34" si="5">F34*10/100</f>
        <v>68431.84818181819</v>
      </c>
      <c r="H34" s="6">
        <f>SUM(H3:H33)</f>
        <v>170687</v>
      </c>
      <c r="I34" s="6">
        <f>SUM(I4:I33)</f>
        <v>639610.5</v>
      </c>
      <c r="J34" s="19">
        <f>SUM(J3:J33)</f>
        <v>40422.5</v>
      </c>
      <c r="K34" s="19">
        <f>SUM(K3:K33)</f>
        <v>3260</v>
      </c>
      <c r="L34" s="19">
        <f>SUM(L3:L33)</f>
        <v>2105</v>
      </c>
      <c r="M34" s="19">
        <f>SUM(M3:M33)</f>
        <v>9484</v>
      </c>
      <c r="N34" s="19">
        <f>SUM(N3:N33)</f>
        <v>15020</v>
      </c>
    </row>
    <row r="35" spans="1:14" x14ac:dyDescent="0.3">
      <c r="B35" s="5"/>
      <c r="C35" s="5"/>
      <c r="D35" s="5"/>
      <c r="E35" s="5"/>
      <c r="F35" s="5"/>
      <c r="G35" s="5"/>
      <c r="H35" s="5"/>
      <c r="I35" s="5"/>
      <c r="J35" s="5"/>
      <c r="K35" s="20"/>
      <c r="L35" s="20"/>
      <c r="M35" s="20"/>
      <c r="N35" s="20"/>
    </row>
    <row r="36" spans="1:14" x14ac:dyDescent="0.3">
      <c r="D36" s="5"/>
      <c r="I36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pane xSplit="9" ySplit="15" topLeftCell="J31" activePane="bottomRight" state="frozen"/>
      <selection pane="topRight" activeCell="J1" sqref="J1"/>
      <selection pane="bottomLeft" activeCell="A16" sqref="A16"/>
      <selection pane="bottomRight" activeCell="B34" sqref="B34:N34"/>
    </sheetView>
  </sheetViews>
  <sheetFormatPr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1.109375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10.5546875" style="4" bestFit="1" customWidth="1"/>
    <col min="13" max="13" width="8.88671875" style="4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45870</v>
      </c>
      <c r="B3" s="14">
        <v>5455</v>
      </c>
      <c r="C3" s="9">
        <f t="shared" ref="C3:C34" si="0">B3/1.1</f>
        <v>4959.090909090909</v>
      </c>
      <c r="D3" s="9">
        <f t="shared" ref="D3:D33" si="1">C3*0.1</f>
        <v>495.90909090909093</v>
      </c>
      <c r="E3" s="14">
        <v>22030</v>
      </c>
      <c r="F3" s="9">
        <f t="shared" ref="F3:F34" si="2">E3/1.1</f>
        <v>20027.272727272724</v>
      </c>
      <c r="G3" s="9">
        <f t="shared" ref="G3:G15" si="3">F3*0.1</f>
        <v>2002.7272727272725</v>
      </c>
      <c r="H3" s="14">
        <v>3350</v>
      </c>
      <c r="I3" s="14">
        <v>23115</v>
      </c>
      <c r="J3" s="14">
        <v>420</v>
      </c>
      <c r="K3" s="18">
        <v>0</v>
      </c>
      <c r="L3" s="17">
        <v>90</v>
      </c>
      <c r="M3" s="17">
        <v>820</v>
      </c>
      <c r="N3" s="17">
        <v>600</v>
      </c>
    </row>
    <row r="4" spans="1:14" x14ac:dyDescent="0.3">
      <c r="A4" s="7">
        <v>45871</v>
      </c>
      <c r="B4" s="14">
        <v>3467.76</v>
      </c>
      <c r="C4" s="9">
        <f t="shared" si="0"/>
        <v>3152.5090909090909</v>
      </c>
      <c r="D4" s="9">
        <f t="shared" si="1"/>
        <v>315.25090909090909</v>
      </c>
      <c r="E4" s="14">
        <v>23099.24</v>
      </c>
      <c r="F4" s="9">
        <f t="shared" si="2"/>
        <v>20999.30909090909</v>
      </c>
      <c r="G4" s="9">
        <f t="shared" si="3"/>
        <v>2099.9309090909092</v>
      </c>
      <c r="H4" s="14">
        <v>7550</v>
      </c>
      <c r="I4" s="14">
        <v>18957</v>
      </c>
      <c r="J4" s="14">
        <v>60</v>
      </c>
      <c r="K4" s="17">
        <v>200</v>
      </c>
      <c r="L4" s="17">
        <v>60</v>
      </c>
      <c r="M4" s="17">
        <v>790</v>
      </c>
      <c r="N4" s="18">
        <v>0</v>
      </c>
    </row>
    <row r="5" spans="1:14" x14ac:dyDescent="0.3">
      <c r="A5" s="7">
        <v>45872</v>
      </c>
      <c r="B5" s="14">
        <v>3436</v>
      </c>
      <c r="C5" s="9">
        <f t="shared" si="0"/>
        <v>3123.6363636363635</v>
      </c>
      <c r="D5" s="9">
        <f t="shared" si="1"/>
        <v>312.36363636363637</v>
      </c>
      <c r="E5" s="14">
        <v>20501</v>
      </c>
      <c r="F5" s="9">
        <f t="shared" si="2"/>
        <v>18637.272727272724</v>
      </c>
      <c r="G5" s="9">
        <f t="shared" si="3"/>
        <v>1863.7272727272725</v>
      </c>
      <c r="H5" s="14">
        <v>3765</v>
      </c>
      <c r="I5" s="14">
        <v>18927</v>
      </c>
      <c r="J5" s="14">
        <v>860</v>
      </c>
      <c r="K5" s="17">
        <v>280</v>
      </c>
      <c r="L5" s="18">
        <v>0</v>
      </c>
      <c r="M5" s="17">
        <v>240</v>
      </c>
      <c r="N5" s="17">
        <v>385</v>
      </c>
    </row>
    <row r="6" spans="1:14" x14ac:dyDescent="0.3">
      <c r="A6" s="7">
        <v>45873</v>
      </c>
      <c r="B6" s="14">
        <v>2790</v>
      </c>
      <c r="C6" s="9">
        <f t="shared" si="0"/>
        <v>2536.363636363636</v>
      </c>
      <c r="D6" s="9">
        <f t="shared" si="1"/>
        <v>253.63636363636363</v>
      </c>
      <c r="E6" s="14">
        <v>22847.5</v>
      </c>
      <c r="F6" s="9">
        <f t="shared" si="2"/>
        <v>20770.454545454544</v>
      </c>
      <c r="G6" s="9">
        <f t="shared" si="3"/>
        <v>2077.0454545454545</v>
      </c>
      <c r="H6" s="14">
        <v>5645</v>
      </c>
      <c r="I6" s="14">
        <v>17902.5</v>
      </c>
      <c r="J6" s="14">
        <v>1370</v>
      </c>
      <c r="K6" s="17">
        <v>0</v>
      </c>
      <c r="L6" s="18">
        <v>0</v>
      </c>
      <c r="M6" s="17">
        <v>740</v>
      </c>
      <c r="N6" s="17">
        <v>720</v>
      </c>
    </row>
    <row r="7" spans="1:14" x14ac:dyDescent="0.3">
      <c r="A7" s="7">
        <v>45874</v>
      </c>
      <c r="B7" s="14">
        <v>5325</v>
      </c>
      <c r="C7" s="9">
        <f t="shared" si="0"/>
        <v>4840.9090909090901</v>
      </c>
      <c r="D7" s="9">
        <f t="shared" si="1"/>
        <v>484.09090909090901</v>
      </c>
      <c r="E7" s="14">
        <v>26790</v>
      </c>
      <c r="F7" s="9">
        <f t="shared" si="2"/>
        <v>24354.545454545452</v>
      </c>
      <c r="G7" s="9">
        <f t="shared" si="3"/>
        <v>2435.4545454545455</v>
      </c>
      <c r="H7" s="14">
        <v>5935</v>
      </c>
      <c r="I7" s="14">
        <v>24875</v>
      </c>
      <c r="J7" s="14">
        <v>1040</v>
      </c>
      <c r="K7" s="17">
        <v>150</v>
      </c>
      <c r="L7" s="17">
        <v>240</v>
      </c>
      <c r="M7" s="17">
        <v>1430</v>
      </c>
      <c r="N7" s="17">
        <v>265</v>
      </c>
    </row>
    <row r="8" spans="1:14" x14ac:dyDescent="0.3">
      <c r="A8" s="7">
        <v>45875</v>
      </c>
      <c r="B8" s="14">
        <v>4495</v>
      </c>
      <c r="C8" s="9">
        <f t="shared" si="0"/>
        <v>4086.363636363636</v>
      </c>
      <c r="D8" s="9">
        <f t="shared" si="1"/>
        <v>408.63636363636363</v>
      </c>
      <c r="E8" s="14">
        <v>22231.5</v>
      </c>
      <c r="F8" s="9">
        <f t="shared" si="2"/>
        <v>20210.454545454544</v>
      </c>
      <c r="G8" s="9">
        <f t="shared" si="3"/>
        <v>2021.0454545454545</v>
      </c>
      <c r="H8" s="14">
        <v>4774</v>
      </c>
      <c r="I8" s="14">
        <v>19490</v>
      </c>
      <c r="J8" s="14">
        <v>1477.5</v>
      </c>
      <c r="K8" s="17">
        <v>580</v>
      </c>
      <c r="L8" s="18">
        <v>0</v>
      </c>
      <c r="M8" s="17">
        <v>260</v>
      </c>
      <c r="N8" s="17">
        <v>985</v>
      </c>
    </row>
    <row r="9" spans="1:14" x14ac:dyDescent="0.3">
      <c r="A9" s="7">
        <v>45876</v>
      </c>
      <c r="B9" s="14">
        <v>2975</v>
      </c>
      <c r="C9" s="9">
        <f t="shared" si="0"/>
        <v>2704.5454545454545</v>
      </c>
      <c r="D9" s="9">
        <f t="shared" si="1"/>
        <v>270.45454545454544</v>
      </c>
      <c r="E9" s="14">
        <v>23112.5</v>
      </c>
      <c r="F9" s="9">
        <f t="shared" si="2"/>
        <v>21011.363636363636</v>
      </c>
      <c r="G9" s="9">
        <f t="shared" si="3"/>
        <v>2101.1363636363635</v>
      </c>
      <c r="H9" s="14">
        <v>5340.05</v>
      </c>
      <c r="I9" s="14">
        <v>20522.5</v>
      </c>
      <c r="J9" s="14">
        <v>225</v>
      </c>
      <c r="K9" s="18">
        <v>0</v>
      </c>
      <c r="L9" s="18">
        <v>0</v>
      </c>
      <c r="M9" s="18">
        <v>0</v>
      </c>
      <c r="N9" s="18">
        <v>0</v>
      </c>
    </row>
    <row r="10" spans="1:14" x14ac:dyDescent="0.3">
      <c r="A10" s="7">
        <v>45877</v>
      </c>
      <c r="B10" s="14">
        <v>5205</v>
      </c>
      <c r="C10" s="9">
        <f t="shared" si="0"/>
        <v>4731.8181818181811</v>
      </c>
      <c r="D10" s="9">
        <f t="shared" si="1"/>
        <v>473.18181818181813</v>
      </c>
      <c r="E10" s="14">
        <v>20735</v>
      </c>
      <c r="F10" s="9">
        <f t="shared" si="2"/>
        <v>18850</v>
      </c>
      <c r="G10" s="9">
        <f t="shared" si="3"/>
        <v>1885</v>
      </c>
      <c r="H10" s="14">
        <v>6720</v>
      </c>
      <c r="I10" s="14">
        <v>17030</v>
      </c>
      <c r="J10" s="14">
        <v>1280</v>
      </c>
      <c r="K10" s="18">
        <v>0</v>
      </c>
      <c r="L10" s="17">
        <v>145</v>
      </c>
      <c r="M10" s="17">
        <v>250</v>
      </c>
      <c r="N10" s="17">
        <v>910</v>
      </c>
    </row>
    <row r="11" spans="1:14" x14ac:dyDescent="0.3">
      <c r="A11" s="7">
        <v>45878</v>
      </c>
      <c r="B11" s="14">
        <v>5340</v>
      </c>
      <c r="C11" s="9">
        <f t="shared" si="0"/>
        <v>4854.545454545454</v>
      </c>
      <c r="D11" s="9">
        <f t="shared" si="1"/>
        <v>485.45454545454544</v>
      </c>
      <c r="E11" s="14">
        <v>21582.5</v>
      </c>
      <c r="F11" s="9">
        <f t="shared" si="2"/>
        <v>19620.454545454544</v>
      </c>
      <c r="G11" s="9">
        <f t="shared" si="3"/>
        <v>1962.0454545454545</v>
      </c>
      <c r="H11" s="14">
        <v>5550</v>
      </c>
      <c r="I11" s="14">
        <v>19652.5</v>
      </c>
      <c r="J11" s="14">
        <v>1180</v>
      </c>
      <c r="K11" s="17">
        <v>1160</v>
      </c>
      <c r="L11" s="18">
        <v>0</v>
      </c>
      <c r="M11" s="17">
        <v>605</v>
      </c>
      <c r="N11" s="17">
        <v>540</v>
      </c>
    </row>
    <row r="12" spans="1:14" x14ac:dyDescent="0.3">
      <c r="A12" s="7">
        <v>45879</v>
      </c>
      <c r="B12" s="14">
        <v>1690</v>
      </c>
      <c r="C12" s="9">
        <f t="shared" si="0"/>
        <v>1536.3636363636363</v>
      </c>
      <c r="D12" s="9">
        <f t="shared" si="1"/>
        <v>153.63636363636363</v>
      </c>
      <c r="E12" s="14">
        <v>25400</v>
      </c>
      <c r="F12" s="9">
        <f t="shared" si="2"/>
        <v>23090.909090909088</v>
      </c>
      <c r="G12" s="9">
        <f t="shared" si="3"/>
        <v>2309.090909090909</v>
      </c>
      <c r="H12" s="14">
        <v>4445</v>
      </c>
      <c r="I12" s="14">
        <v>21920</v>
      </c>
      <c r="J12" s="14">
        <v>725</v>
      </c>
      <c r="K12" s="18">
        <v>0</v>
      </c>
      <c r="L12" s="18">
        <v>0</v>
      </c>
      <c r="M12" s="17">
        <v>340</v>
      </c>
      <c r="N12" s="18">
        <v>0</v>
      </c>
    </row>
    <row r="13" spans="1:14" x14ac:dyDescent="0.3">
      <c r="A13" s="7">
        <v>45880</v>
      </c>
      <c r="B13" s="14">
        <v>3710</v>
      </c>
      <c r="C13" s="9">
        <f t="shared" si="0"/>
        <v>3372.7272727272725</v>
      </c>
      <c r="D13" s="9">
        <f t="shared" si="1"/>
        <v>337.27272727272725</v>
      </c>
      <c r="E13" s="14">
        <v>18425</v>
      </c>
      <c r="F13" s="9">
        <f t="shared" si="2"/>
        <v>16750</v>
      </c>
      <c r="G13" s="9">
        <f t="shared" si="3"/>
        <v>1675</v>
      </c>
      <c r="H13" s="14">
        <v>3615</v>
      </c>
      <c r="I13" s="14">
        <v>18155</v>
      </c>
      <c r="J13" s="14">
        <v>220</v>
      </c>
      <c r="K13" s="17">
        <v>145</v>
      </c>
      <c r="L13" s="17">
        <v>130</v>
      </c>
      <c r="M13" s="17">
        <v>685</v>
      </c>
      <c r="N13" s="17">
        <v>145</v>
      </c>
    </row>
    <row r="14" spans="1:14" x14ac:dyDescent="0.3">
      <c r="A14" s="7">
        <v>45881</v>
      </c>
      <c r="B14" s="14">
        <v>4931</v>
      </c>
      <c r="C14" s="9">
        <f t="shared" si="0"/>
        <v>4482.7272727272721</v>
      </c>
      <c r="D14" s="9">
        <f t="shared" si="1"/>
        <v>448.27272727272725</v>
      </c>
      <c r="E14" s="14">
        <v>22573.5</v>
      </c>
      <c r="F14" s="9">
        <f t="shared" si="2"/>
        <v>20521.363636363636</v>
      </c>
      <c r="G14" s="9">
        <f t="shared" si="3"/>
        <v>2052.1363636363635</v>
      </c>
      <c r="H14" s="14">
        <v>5826</v>
      </c>
      <c r="I14" s="14">
        <v>20963.5</v>
      </c>
      <c r="J14" s="14">
        <v>570</v>
      </c>
      <c r="K14" s="17">
        <v>605</v>
      </c>
      <c r="L14" s="17">
        <v>130</v>
      </c>
      <c r="M14" s="17">
        <v>260</v>
      </c>
      <c r="N14" s="17">
        <v>145</v>
      </c>
    </row>
    <row r="15" spans="1:14" x14ac:dyDescent="0.3">
      <c r="A15" s="7">
        <v>45882</v>
      </c>
      <c r="B15" s="14">
        <v>4165</v>
      </c>
      <c r="C15" s="9">
        <f t="shared" si="0"/>
        <v>3786.363636363636</v>
      </c>
      <c r="D15" s="9">
        <f t="shared" si="1"/>
        <v>378.63636363636363</v>
      </c>
      <c r="E15" s="14">
        <v>22048</v>
      </c>
      <c r="F15" s="9">
        <f t="shared" si="2"/>
        <v>20043.63636363636</v>
      </c>
      <c r="G15" s="9">
        <f t="shared" si="3"/>
        <v>2004.363636363636</v>
      </c>
      <c r="H15" s="14">
        <v>5718</v>
      </c>
      <c r="I15" s="14">
        <v>20070</v>
      </c>
      <c r="J15" s="14">
        <v>425</v>
      </c>
      <c r="K15" s="17">
        <v>280</v>
      </c>
      <c r="L15" s="17">
        <v>850</v>
      </c>
      <c r="M15" s="17">
        <v>555</v>
      </c>
      <c r="N15" s="18">
        <v>0</v>
      </c>
    </row>
    <row r="16" spans="1:14" x14ac:dyDescent="0.3">
      <c r="A16" s="7">
        <v>45883</v>
      </c>
      <c r="B16" s="9">
        <v>4900</v>
      </c>
      <c r="C16" s="9">
        <f t="shared" si="0"/>
        <v>4454.545454545454</v>
      </c>
      <c r="D16" s="9">
        <f t="shared" si="1"/>
        <v>445.45454545454544</v>
      </c>
      <c r="E16" s="9">
        <v>25962.5</v>
      </c>
      <c r="F16" s="9">
        <f t="shared" ref="F16:F33" si="4">E16/1.1</f>
        <v>23602.272727272724</v>
      </c>
      <c r="G16" s="9">
        <f t="shared" ref="G16:G33" si="5">F16*0.1</f>
        <v>2360.2272727272725</v>
      </c>
      <c r="H16" s="9">
        <v>4020</v>
      </c>
      <c r="I16" s="9">
        <v>26377.5</v>
      </c>
      <c r="J16" s="9">
        <v>120</v>
      </c>
      <c r="K16" s="18">
        <v>0</v>
      </c>
      <c r="L16" s="18">
        <v>85</v>
      </c>
      <c r="M16" s="18">
        <v>170</v>
      </c>
      <c r="N16" s="18">
        <v>345</v>
      </c>
    </row>
    <row r="17" spans="1:14" x14ac:dyDescent="0.3">
      <c r="A17" s="7">
        <v>45884</v>
      </c>
      <c r="B17" s="9">
        <v>3905</v>
      </c>
      <c r="C17" s="9">
        <f t="shared" si="0"/>
        <v>3549.9999999999995</v>
      </c>
      <c r="D17" s="9">
        <f t="shared" si="1"/>
        <v>355</v>
      </c>
      <c r="E17" s="9">
        <v>22367.5</v>
      </c>
      <c r="F17" s="9">
        <f t="shared" si="4"/>
        <v>20334.090909090908</v>
      </c>
      <c r="G17" s="9">
        <f t="shared" si="5"/>
        <v>2033.409090909091</v>
      </c>
      <c r="H17" s="9">
        <v>2605</v>
      </c>
      <c r="I17" s="9">
        <v>22837.5</v>
      </c>
      <c r="J17" s="9">
        <v>710</v>
      </c>
      <c r="K17" s="18">
        <v>0</v>
      </c>
      <c r="L17" s="18">
        <v>0</v>
      </c>
      <c r="M17" s="18">
        <v>0</v>
      </c>
      <c r="N17" s="18">
        <v>120</v>
      </c>
    </row>
    <row r="18" spans="1:14" x14ac:dyDescent="0.3">
      <c r="A18" s="7">
        <v>45885</v>
      </c>
      <c r="B18" s="9">
        <v>3080</v>
      </c>
      <c r="C18" s="9">
        <f t="shared" si="0"/>
        <v>2800</v>
      </c>
      <c r="D18" s="9">
        <f t="shared" si="1"/>
        <v>280</v>
      </c>
      <c r="E18" s="9">
        <v>21475</v>
      </c>
      <c r="F18" s="9">
        <f t="shared" si="4"/>
        <v>19522.727272727272</v>
      </c>
      <c r="G18" s="9">
        <f t="shared" si="5"/>
        <v>1952.2727272727273</v>
      </c>
      <c r="H18" s="9">
        <v>3950</v>
      </c>
      <c r="I18" s="9">
        <v>20305</v>
      </c>
      <c r="J18" s="9">
        <v>300</v>
      </c>
      <c r="K18" s="18">
        <v>0</v>
      </c>
      <c r="L18" s="18">
        <v>0</v>
      </c>
      <c r="M18" s="18">
        <v>1130</v>
      </c>
      <c r="N18" s="18">
        <v>0</v>
      </c>
    </row>
    <row r="19" spans="1:14" x14ac:dyDescent="0.3">
      <c r="A19" s="7">
        <v>45886</v>
      </c>
      <c r="B19" s="9">
        <v>3610</v>
      </c>
      <c r="C19" s="9">
        <f t="shared" si="0"/>
        <v>3281.8181818181815</v>
      </c>
      <c r="D19" s="9">
        <f t="shared" si="1"/>
        <v>328.18181818181819</v>
      </c>
      <c r="E19" s="9">
        <v>24261</v>
      </c>
      <c r="F19" s="9">
        <f t="shared" si="4"/>
        <v>22055.454545454544</v>
      </c>
      <c r="G19" s="9">
        <f t="shared" si="5"/>
        <v>2205.5454545454545</v>
      </c>
      <c r="H19" s="9">
        <v>5750.1</v>
      </c>
      <c r="I19" s="9">
        <v>20960.900000000001</v>
      </c>
      <c r="J19" s="9">
        <v>1160</v>
      </c>
      <c r="K19" s="18">
        <v>0</v>
      </c>
      <c r="L19" s="18">
        <v>420</v>
      </c>
      <c r="M19" s="18">
        <v>1280</v>
      </c>
      <c r="N19" s="18">
        <v>0</v>
      </c>
    </row>
    <row r="20" spans="1:14" x14ac:dyDescent="0.3">
      <c r="A20" s="7">
        <v>45887</v>
      </c>
      <c r="B20" s="9">
        <v>3166.5</v>
      </c>
      <c r="C20" s="9">
        <f t="shared" si="0"/>
        <v>2878.6363636363635</v>
      </c>
      <c r="D20" s="9">
        <f t="shared" si="1"/>
        <v>287.86363636363637</v>
      </c>
      <c r="E20" s="9">
        <v>19086</v>
      </c>
      <c r="F20" s="9">
        <f t="shared" si="4"/>
        <v>17350.909090909088</v>
      </c>
      <c r="G20" s="9">
        <f t="shared" si="5"/>
        <v>1735.090909090909</v>
      </c>
      <c r="H20" s="9">
        <v>5190</v>
      </c>
      <c r="I20" s="9">
        <v>15997.5</v>
      </c>
      <c r="J20" s="9">
        <v>1065</v>
      </c>
      <c r="K20" s="18">
        <v>450</v>
      </c>
      <c r="L20" s="18">
        <v>0</v>
      </c>
      <c r="M20" s="18">
        <v>0</v>
      </c>
      <c r="N20" s="18">
        <v>0</v>
      </c>
    </row>
    <row r="21" spans="1:14" x14ac:dyDescent="0.3">
      <c r="A21" s="7">
        <v>45888</v>
      </c>
      <c r="B21" s="9">
        <v>4045</v>
      </c>
      <c r="C21" s="9">
        <f t="shared" si="0"/>
        <v>3677.272727272727</v>
      </c>
      <c r="D21" s="9">
        <f t="shared" si="1"/>
        <v>367.72727272727275</v>
      </c>
      <c r="E21" s="9">
        <v>18277.5</v>
      </c>
      <c r="F21" s="9">
        <f t="shared" si="4"/>
        <v>16615.909090909088</v>
      </c>
      <c r="G21" s="9">
        <f t="shared" si="5"/>
        <v>1661.590909090909</v>
      </c>
      <c r="H21" s="9">
        <v>3025</v>
      </c>
      <c r="I21" s="9">
        <v>18547.5</v>
      </c>
      <c r="J21" s="9">
        <v>510</v>
      </c>
      <c r="K21" s="18">
        <v>0</v>
      </c>
      <c r="L21" s="18">
        <v>242.5</v>
      </c>
      <c r="M21" s="18">
        <v>280</v>
      </c>
      <c r="N21" s="18">
        <v>240</v>
      </c>
    </row>
    <row r="22" spans="1:14" x14ac:dyDescent="0.3">
      <c r="A22" s="7">
        <v>45889</v>
      </c>
      <c r="B22" s="9">
        <v>6085</v>
      </c>
      <c r="C22" s="9">
        <f t="shared" si="0"/>
        <v>5531.8181818181811</v>
      </c>
      <c r="D22" s="9">
        <f t="shared" si="1"/>
        <v>553.18181818181813</v>
      </c>
      <c r="E22" s="9">
        <v>22970</v>
      </c>
      <c r="F22" s="9">
        <f t="shared" si="4"/>
        <v>20881.81818181818</v>
      </c>
      <c r="G22" s="9">
        <f t="shared" si="5"/>
        <v>2088.181818181818</v>
      </c>
      <c r="H22" s="9">
        <v>8035</v>
      </c>
      <c r="I22" s="9">
        <v>19625</v>
      </c>
      <c r="J22" s="9">
        <v>1395</v>
      </c>
      <c r="K22" s="18">
        <v>0</v>
      </c>
      <c r="L22" s="18">
        <v>0</v>
      </c>
      <c r="M22" s="18">
        <v>600</v>
      </c>
      <c r="N22" s="18">
        <v>0</v>
      </c>
    </row>
    <row r="23" spans="1:14" x14ac:dyDescent="0.3">
      <c r="A23" s="7">
        <v>45890</v>
      </c>
      <c r="B23" s="9">
        <v>4295</v>
      </c>
      <c r="C23" s="9">
        <f t="shared" si="0"/>
        <v>3904.545454545454</v>
      </c>
      <c r="D23" s="9">
        <f t="shared" si="1"/>
        <v>390.45454545454544</v>
      </c>
      <c r="E23" s="9">
        <v>22735</v>
      </c>
      <c r="F23" s="9">
        <f t="shared" si="4"/>
        <v>20668.181818181816</v>
      </c>
      <c r="G23" s="9">
        <f t="shared" si="5"/>
        <v>2066.8181818181815</v>
      </c>
      <c r="H23" s="9">
        <v>6820</v>
      </c>
      <c r="I23" s="9">
        <v>19145</v>
      </c>
      <c r="J23" s="9">
        <v>600</v>
      </c>
      <c r="K23" s="18">
        <v>0</v>
      </c>
      <c r="L23" s="18">
        <v>130</v>
      </c>
      <c r="M23" s="18">
        <v>210</v>
      </c>
      <c r="N23" s="18">
        <v>465</v>
      </c>
    </row>
    <row r="24" spans="1:14" x14ac:dyDescent="0.3">
      <c r="A24" s="7">
        <v>45891</v>
      </c>
      <c r="B24" s="9">
        <v>6307</v>
      </c>
      <c r="C24" s="9">
        <f t="shared" si="0"/>
        <v>5733.6363636363631</v>
      </c>
      <c r="D24" s="9">
        <f t="shared" si="1"/>
        <v>573.36363636363637</v>
      </c>
      <c r="E24" s="9">
        <v>21975.5</v>
      </c>
      <c r="F24" s="9">
        <f t="shared" si="4"/>
        <v>19977.727272727272</v>
      </c>
      <c r="G24" s="9">
        <f t="shared" si="5"/>
        <v>1997.7727272727273</v>
      </c>
      <c r="H24" s="9">
        <v>5808</v>
      </c>
      <c r="I24" s="9">
        <v>21084.5</v>
      </c>
      <c r="J24" s="9">
        <v>1390</v>
      </c>
      <c r="K24" s="18">
        <v>0</v>
      </c>
      <c r="L24" s="18">
        <v>77.5</v>
      </c>
      <c r="M24" s="18">
        <v>250</v>
      </c>
      <c r="N24" s="18">
        <v>0</v>
      </c>
    </row>
    <row r="25" spans="1:14" x14ac:dyDescent="0.3">
      <c r="A25" s="7">
        <v>45892</v>
      </c>
      <c r="B25" s="9">
        <v>3200</v>
      </c>
      <c r="C25" s="9">
        <f t="shared" si="0"/>
        <v>2909.090909090909</v>
      </c>
      <c r="D25" s="9">
        <f t="shared" si="1"/>
        <v>290.90909090909093</v>
      </c>
      <c r="E25" s="9">
        <v>23400</v>
      </c>
      <c r="F25" s="9">
        <f t="shared" si="4"/>
        <v>21272.727272727272</v>
      </c>
      <c r="G25" s="9">
        <f t="shared" si="5"/>
        <v>2127.2727272727275</v>
      </c>
      <c r="H25" s="9">
        <v>3831</v>
      </c>
      <c r="I25" s="9">
        <v>21999</v>
      </c>
      <c r="J25" s="9">
        <v>600</v>
      </c>
      <c r="K25" s="18">
        <v>0</v>
      </c>
      <c r="L25" s="18">
        <v>0</v>
      </c>
      <c r="M25" s="18">
        <v>130</v>
      </c>
      <c r="N25" s="18">
        <v>170</v>
      </c>
    </row>
    <row r="26" spans="1:14" x14ac:dyDescent="0.3">
      <c r="A26" s="7">
        <v>45893</v>
      </c>
      <c r="B26" s="9">
        <v>2665</v>
      </c>
      <c r="C26" s="9">
        <f t="shared" si="0"/>
        <v>2422.7272727272725</v>
      </c>
      <c r="D26" s="9">
        <f t="shared" si="1"/>
        <v>242.27272727272725</v>
      </c>
      <c r="E26" s="9">
        <v>21000</v>
      </c>
      <c r="F26" s="9">
        <f t="shared" si="4"/>
        <v>19090.909090909088</v>
      </c>
      <c r="G26" s="9">
        <f t="shared" si="5"/>
        <v>1909.090909090909</v>
      </c>
      <c r="H26" s="9">
        <v>4600</v>
      </c>
      <c r="I26" s="9">
        <v>17755</v>
      </c>
      <c r="J26" s="9">
        <v>805</v>
      </c>
      <c r="K26" s="18">
        <v>0</v>
      </c>
      <c r="L26" s="18">
        <v>0</v>
      </c>
      <c r="M26" s="18">
        <v>170</v>
      </c>
      <c r="N26" s="18">
        <v>505</v>
      </c>
    </row>
    <row r="27" spans="1:14" x14ac:dyDescent="0.3">
      <c r="A27" s="7">
        <v>45894</v>
      </c>
      <c r="B27" s="14">
        <v>3310</v>
      </c>
      <c r="C27" s="9">
        <f t="shared" si="0"/>
        <v>3009.090909090909</v>
      </c>
      <c r="D27" s="9">
        <f t="shared" si="1"/>
        <v>300.90909090909093</v>
      </c>
      <c r="E27" s="14">
        <v>23817.5</v>
      </c>
      <c r="F27" s="9">
        <f t="shared" si="4"/>
        <v>21652.272727272724</v>
      </c>
      <c r="G27" s="9">
        <f t="shared" si="5"/>
        <v>2165.2272727272725</v>
      </c>
      <c r="H27" s="14">
        <v>4360</v>
      </c>
      <c r="I27" s="14">
        <f>22767.5-1180</f>
        <v>21587.5</v>
      </c>
      <c r="J27" s="14">
        <v>1180</v>
      </c>
      <c r="K27" s="18">
        <v>0</v>
      </c>
      <c r="L27" s="18">
        <v>0</v>
      </c>
      <c r="M27" s="18">
        <v>0</v>
      </c>
      <c r="N27" s="18">
        <v>0</v>
      </c>
    </row>
    <row r="28" spans="1:14" x14ac:dyDescent="0.3">
      <c r="A28" s="7">
        <v>45895</v>
      </c>
      <c r="B28" s="14">
        <v>4810</v>
      </c>
      <c r="C28" s="9">
        <f t="shared" si="0"/>
        <v>4372.7272727272721</v>
      </c>
      <c r="D28" s="9">
        <f t="shared" si="1"/>
        <v>437.27272727272725</v>
      </c>
      <c r="E28" s="14">
        <v>24015</v>
      </c>
      <c r="F28" s="9">
        <f t="shared" si="4"/>
        <v>21831.81818181818</v>
      </c>
      <c r="G28" s="9">
        <f t="shared" si="5"/>
        <v>2183.181818181818</v>
      </c>
      <c r="H28" s="14">
        <v>4175</v>
      </c>
      <c r="I28" s="14">
        <f>24650-1915</f>
        <v>22735</v>
      </c>
      <c r="J28" s="14">
        <v>1915</v>
      </c>
      <c r="K28" s="18">
        <v>0</v>
      </c>
      <c r="L28" s="18">
        <v>0</v>
      </c>
      <c r="M28" s="18">
        <v>0</v>
      </c>
      <c r="N28" s="18">
        <v>0</v>
      </c>
    </row>
    <row r="29" spans="1:14" x14ac:dyDescent="0.3">
      <c r="A29" s="7">
        <v>45896</v>
      </c>
      <c r="B29" s="14">
        <v>4640</v>
      </c>
      <c r="C29" s="9">
        <f t="shared" si="0"/>
        <v>4218.181818181818</v>
      </c>
      <c r="D29" s="9">
        <f t="shared" si="1"/>
        <v>421.81818181818181</v>
      </c>
      <c r="E29" s="14">
        <v>21772.5</v>
      </c>
      <c r="F29" s="9">
        <f t="shared" si="4"/>
        <v>19793.181818181816</v>
      </c>
      <c r="G29" s="9">
        <f t="shared" si="5"/>
        <v>1979.3181818181818</v>
      </c>
      <c r="H29" s="14">
        <v>3147.5</v>
      </c>
      <c r="I29" s="14">
        <f>22730-1551.67</f>
        <v>21178.33</v>
      </c>
      <c r="J29" s="14">
        <v>1551.67</v>
      </c>
      <c r="K29" s="18">
        <v>0</v>
      </c>
      <c r="L29" s="17">
        <v>180</v>
      </c>
      <c r="M29" s="18">
        <v>0</v>
      </c>
      <c r="N29" s="17">
        <v>535</v>
      </c>
    </row>
    <row r="30" spans="1:14" x14ac:dyDescent="0.3">
      <c r="A30" s="7">
        <v>45897</v>
      </c>
      <c r="B30" s="14">
        <v>6075</v>
      </c>
      <c r="C30" s="9">
        <f t="shared" si="0"/>
        <v>5522.7272727272721</v>
      </c>
      <c r="D30" s="9">
        <f t="shared" si="1"/>
        <v>552.27272727272725</v>
      </c>
      <c r="E30" s="14">
        <v>22435</v>
      </c>
      <c r="F30" s="9">
        <f t="shared" si="4"/>
        <v>20395.454545454544</v>
      </c>
      <c r="G30" s="9">
        <f t="shared" si="5"/>
        <v>2039.5454545454545</v>
      </c>
      <c r="H30" s="14">
        <v>8460</v>
      </c>
      <c r="I30" s="14">
        <f>19200-1255</f>
        <v>17945</v>
      </c>
      <c r="J30" s="14">
        <v>1255</v>
      </c>
      <c r="K30" s="17">
        <v>130</v>
      </c>
      <c r="L30" s="18">
        <v>0</v>
      </c>
      <c r="M30" s="18">
        <v>0</v>
      </c>
      <c r="N30" s="17">
        <v>850</v>
      </c>
    </row>
    <row r="31" spans="1:14" x14ac:dyDescent="0.3">
      <c r="A31" s="7">
        <v>45898</v>
      </c>
      <c r="B31" s="14">
        <v>2860</v>
      </c>
      <c r="C31" s="9">
        <f t="shared" si="0"/>
        <v>2600</v>
      </c>
      <c r="D31" s="9">
        <f t="shared" si="1"/>
        <v>260</v>
      </c>
      <c r="E31" s="14">
        <v>25615</v>
      </c>
      <c r="F31" s="9">
        <f t="shared" si="4"/>
        <v>23286.363636363636</v>
      </c>
      <c r="G31" s="9">
        <f t="shared" si="5"/>
        <v>2328.6363636363635</v>
      </c>
      <c r="H31" s="14">
        <v>5550</v>
      </c>
      <c r="I31" s="14">
        <f>22585-530</f>
        <v>22055</v>
      </c>
      <c r="J31" s="14">
        <v>530</v>
      </c>
      <c r="K31" s="18">
        <v>0</v>
      </c>
      <c r="L31" s="18">
        <v>0</v>
      </c>
      <c r="M31" s="17">
        <v>600</v>
      </c>
      <c r="N31" s="17">
        <v>340</v>
      </c>
    </row>
    <row r="32" spans="1:14" x14ac:dyDescent="0.3">
      <c r="A32" s="7">
        <v>45899</v>
      </c>
      <c r="B32" s="14">
        <v>6425</v>
      </c>
      <c r="C32" s="9">
        <f t="shared" si="0"/>
        <v>5840.9090909090901</v>
      </c>
      <c r="D32" s="9">
        <f t="shared" si="1"/>
        <v>584.09090909090901</v>
      </c>
      <c r="E32" s="14">
        <v>24981</v>
      </c>
      <c r="F32" s="9">
        <f t="shared" si="4"/>
        <v>22709.999999999996</v>
      </c>
      <c r="G32" s="9">
        <f t="shared" si="5"/>
        <v>2270.9999999999995</v>
      </c>
      <c r="H32" s="14">
        <v>6735</v>
      </c>
      <c r="I32" s="14">
        <f>24671-850</f>
        <v>23821</v>
      </c>
      <c r="J32" s="14">
        <v>850</v>
      </c>
      <c r="K32" s="18">
        <v>0</v>
      </c>
      <c r="L32" s="18">
        <v>0</v>
      </c>
      <c r="M32" s="17">
        <v>275</v>
      </c>
      <c r="N32" s="18">
        <v>0</v>
      </c>
    </row>
    <row r="33" spans="1:14" x14ac:dyDescent="0.3">
      <c r="A33" s="7">
        <v>45900</v>
      </c>
      <c r="B33" s="14">
        <v>2555</v>
      </c>
      <c r="C33" s="9">
        <f t="shared" si="0"/>
        <v>2322.7272727272725</v>
      </c>
      <c r="D33" s="9">
        <f t="shared" si="1"/>
        <v>232.27272727272725</v>
      </c>
      <c r="E33" s="14">
        <v>22110</v>
      </c>
      <c r="F33" s="9">
        <f t="shared" si="4"/>
        <v>20100</v>
      </c>
      <c r="G33" s="9">
        <f t="shared" si="5"/>
        <v>2010</v>
      </c>
      <c r="H33" s="14">
        <v>7490</v>
      </c>
      <c r="I33" s="14">
        <f>17045-270</f>
        <v>16775</v>
      </c>
      <c r="J33" s="14">
        <v>270</v>
      </c>
      <c r="K33" s="18">
        <v>0</v>
      </c>
      <c r="L33" s="18">
        <v>0</v>
      </c>
      <c r="M33" s="17">
        <v>130</v>
      </c>
      <c r="N33" s="17">
        <v>130</v>
      </c>
    </row>
    <row r="34" spans="1:14" x14ac:dyDescent="0.3">
      <c r="B34" s="6">
        <f>SUM(B3:B33)</f>
        <v>128918.26000000001</v>
      </c>
      <c r="C34" s="8">
        <f t="shared" si="0"/>
        <v>117198.41818181818</v>
      </c>
      <c r="D34" s="8">
        <f t="shared" ref="D34" si="6">C34*10/100</f>
        <v>11719.84181818182</v>
      </c>
      <c r="E34" s="6">
        <f>SUM(E3:E33)</f>
        <v>699631.74</v>
      </c>
      <c r="F34" s="8">
        <f t="shared" si="2"/>
        <v>636028.85454545449</v>
      </c>
      <c r="G34" s="8">
        <f t="shared" ref="G34" si="7">F34*10/100</f>
        <v>63602.885454545452</v>
      </c>
      <c r="H34" s="6">
        <f t="shared" ref="H34:N34" si="8">SUM(H3:H33)</f>
        <v>161784.65000000002</v>
      </c>
      <c r="I34" s="6">
        <f>SUM(I3:I33)</f>
        <v>632311.23</v>
      </c>
      <c r="J34" s="19">
        <f t="shared" si="8"/>
        <v>26059.17</v>
      </c>
      <c r="K34" s="19">
        <f t="shared" si="8"/>
        <v>3980</v>
      </c>
      <c r="L34" s="19">
        <f t="shared" si="8"/>
        <v>2780</v>
      </c>
      <c r="M34" s="19">
        <f t="shared" si="8"/>
        <v>12200</v>
      </c>
      <c r="N34" s="19">
        <f t="shared" si="8"/>
        <v>8395</v>
      </c>
    </row>
    <row r="35" spans="1:14" x14ac:dyDescent="0.3">
      <c r="B35" s="5"/>
      <c r="C35" s="5"/>
      <c r="D35" s="5"/>
      <c r="E35" s="5"/>
      <c r="F35" s="5"/>
      <c r="G35" s="5"/>
      <c r="H35" s="5"/>
      <c r="I35" s="5"/>
      <c r="J35" s="5"/>
      <c r="K35" s="20"/>
      <c r="L35" s="20"/>
      <c r="M35" s="20"/>
      <c r="N35" s="20"/>
    </row>
    <row r="36" spans="1:14" x14ac:dyDescent="0.3">
      <c r="D36" s="5"/>
      <c r="I36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13" workbookViewId="0">
      <selection activeCell="J39" sqref="J39"/>
    </sheetView>
  </sheetViews>
  <sheetFormatPr defaultRowHeight="14.4" x14ac:dyDescent="0.3"/>
  <cols>
    <col min="1" max="1" width="10.88671875" style="34" bestFit="1" customWidth="1"/>
    <col min="2" max="2" width="12.6640625" style="28" customWidth="1"/>
    <col min="3" max="3" width="13.88671875" style="28" customWidth="1"/>
    <col min="4" max="4" width="14.88671875" style="28" customWidth="1"/>
    <col min="5" max="5" width="11.109375" style="28" bestFit="1" customWidth="1"/>
    <col min="6" max="6" width="11" style="28" bestFit="1" customWidth="1"/>
    <col min="7" max="7" width="9.88671875" style="28" bestFit="1" customWidth="1"/>
    <col min="8" max="8" width="11.109375" style="28" bestFit="1" customWidth="1"/>
    <col min="9" max="9" width="13.6640625" style="28" bestFit="1" customWidth="1"/>
    <col min="10" max="10" width="16.33203125" style="28" bestFit="1" customWidth="1"/>
    <col min="11" max="11" width="18" style="34" bestFit="1" customWidth="1"/>
    <col min="12" max="12" width="10.5546875" style="34" bestFit="1" customWidth="1"/>
    <col min="13" max="13" width="8.88671875" style="34"/>
    <col min="14" max="14" width="16.88671875" style="34" bestFit="1" customWidth="1"/>
    <col min="15" max="16384" width="8.88671875" style="28"/>
  </cols>
  <sheetData>
    <row r="1" spans="1:14" x14ac:dyDescent="0.3">
      <c r="A1" s="24" t="s">
        <v>0</v>
      </c>
      <c r="B1" s="25" t="s">
        <v>1</v>
      </c>
      <c r="C1" s="25"/>
      <c r="D1" s="25"/>
      <c r="E1" s="24" t="s">
        <v>2</v>
      </c>
      <c r="F1" s="25"/>
      <c r="G1" s="25"/>
      <c r="H1" s="25" t="s">
        <v>3</v>
      </c>
      <c r="I1" s="25" t="s">
        <v>4</v>
      </c>
      <c r="J1" s="26" t="s">
        <v>5</v>
      </c>
      <c r="K1" s="27" t="s">
        <v>12</v>
      </c>
      <c r="L1" s="27" t="s">
        <v>13</v>
      </c>
      <c r="M1" s="27" t="s">
        <v>14</v>
      </c>
      <c r="N1" s="27" t="s">
        <v>15</v>
      </c>
    </row>
    <row r="2" spans="1:14" x14ac:dyDescent="0.3">
      <c r="A2" s="29"/>
      <c r="B2" s="30">
        <v>0.1</v>
      </c>
      <c r="C2" s="30"/>
      <c r="D2" s="30"/>
      <c r="E2" s="30">
        <v>0.1</v>
      </c>
      <c r="F2" s="30"/>
      <c r="G2" s="30"/>
      <c r="H2" s="24"/>
      <c r="I2" s="24"/>
      <c r="J2" s="24"/>
      <c r="K2" s="24"/>
      <c r="L2" s="24"/>
      <c r="M2" s="24"/>
      <c r="N2" s="24"/>
    </row>
    <row r="3" spans="1:14" x14ac:dyDescent="0.3">
      <c r="A3" s="31">
        <v>45901</v>
      </c>
      <c r="B3" s="14">
        <v>3335</v>
      </c>
      <c r="C3" s="32">
        <f t="shared" ref="C3:C33" si="0">B3/1.1</f>
        <v>3031.8181818181815</v>
      </c>
      <c r="D3" s="32">
        <f t="shared" ref="D3:D32" si="1">C3*0.1</f>
        <v>303.18181818181819</v>
      </c>
      <c r="E3" s="14">
        <v>19552.5</v>
      </c>
      <c r="F3" s="32">
        <f t="shared" ref="F3:F33" si="2">E3/1.1</f>
        <v>17775</v>
      </c>
      <c r="G3" s="32">
        <f t="shared" ref="G3:G32" si="3">F3*0.1</f>
        <v>1777.5</v>
      </c>
      <c r="H3" s="14">
        <v>4952.5</v>
      </c>
      <c r="I3" s="14">
        <f>17560-1330</f>
        <v>16230</v>
      </c>
      <c r="J3" s="14">
        <v>1330</v>
      </c>
      <c r="K3" s="17">
        <v>1010</v>
      </c>
      <c r="L3" s="33">
        <v>0</v>
      </c>
      <c r="M3" s="17">
        <v>130</v>
      </c>
      <c r="N3" s="17">
        <v>375</v>
      </c>
    </row>
    <row r="4" spans="1:14" x14ac:dyDescent="0.3">
      <c r="A4" s="31">
        <v>45902</v>
      </c>
      <c r="B4" s="14">
        <v>6315</v>
      </c>
      <c r="C4" s="32">
        <f t="shared" si="0"/>
        <v>5740.9090909090901</v>
      </c>
      <c r="D4" s="32">
        <f t="shared" si="1"/>
        <v>574.09090909090901</v>
      </c>
      <c r="E4" s="14">
        <v>25740</v>
      </c>
      <c r="F4" s="32">
        <f t="shared" si="2"/>
        <v>23399.999999999996</v>
      </c>
      <c r="G4" s="32">
        <f t="shared" si="3"/>
        <v>2339.9999999999995</v>
      </c>
      <c r="H4" s="14">
        <v>8012.5</v>
      </c>
      <c r="I4" s="14">
        <f>23042.5-2280</f>
        <v>20762.5</v>
      </c>
      <c r="J4" s="14">
        <v>2280</v>
      </c>
      <c r="K4" s="17">
        <v>125</v>
      </c>
      <c r="L4" s="33">
        <v>0</v>
      </c>
      <c r="M4" s="17">
        <v>1440</v>
      </c>
      <c r="N4" s="17">
        <v>1000</v>
      </c>
    </row>
    <row r="5" spans="1:14" x14ac:dyDescent="0.3">
      <c r="A5" s="31">
        <v>45903</v>
      </c>
      <c r="B5" s="14">
        <v>5115</v>
      </c>
      <c r="C5" s="32">
        <f t="shared" si="0"/>
        <v>4650</v>
      </c>
      <c r="D5" s="32">
        <f t="shared" si="1"/>
        <v>465</v>
      </c>
      <c r="E5" s="14">
        <v>24197.5</v>
      </c>
      <c r="F5" s="32">
        <f t="shared" si="2"/>
        <v>21997.727272727272</v>
      </c>
      <c r="G5" s="32">
        <f t="shared" si="3"/>
        <v>2199.7727272727275</v>
      </c>
      <c r="H5" s="14">
        <v>8550</v>
      </c>
      <c r="I5" s="14">
        <f>20612.5-580</f>
        <v>20032.5</v>
      </c>
      <c r="J5" s="14">
        <v>580</v>
      </c>
      <c r="K5" s="33">
        <v>0</v>
      </c>
      <c r="L5" s="33">
        <v>0</v>
      </c>
      <c r="M5" s="17">
        <v>465</v>
      </c>
      <c r="N5" s="17">
        <v>150</v>
      </c>
    </row>
    <row r="6" spans="1:14" x14ac:dyDescent="0.3">
      <c r="A6" s="31">
        <v>45904</v>
      </c>
      <c r="B6" s="14">
        <v>5075</v>
      </c>
      <c r="C6" s="32">
        <f t="shared" si="0"/>
        <v>4613.6363636363631</v>
      </c>
      <c r="D6" s="32">
        <f t="shared" si="1"/>
        <v>461.36363636363632</v>
      </c>
      <c r="E6" s="14">
        <v>24547.5</v>
      </c>
      <c r="F6" s="32">
        <f t="shared" si="2"/>
        <v>22315.909090909088</v>
      </c>
      <c r="G6" s="32">
        <f t="shared" si="3"/>
        <v>2231.590909090909</v>
      </c>
      <c r="H6" s="14">
        <v>7410</v>
      </c>
      <c r="I6" s="14">
        <f>22212.5-1435</f>
        <v>20777.5</v>
      </c>
      <c r="J6" s="14">
        <v>1435</v>
      </c>
      <c r="K6" s="17">
        <v>780</v>
      </c>
      <c r="L6" s="33">
        <v>0</v>
      </c>
      <c r="M6" s="17">
        <v>1210</v>
      </c>
      <c r="N6" s="33">
        <v>0</v>
      </c>
    </row>
    <row r="7" spans="1:14" x14ac:dyDescent="0.3">
      <c r="A7" s="31">
        <v>45905</v>
      </c>
      <c r="B7" s="14">
        <v>4367.79</v>
      </c>
      <c r="C7" s="32">
        <f t="shared" si="0"/>
        <v>3970.7181818181816</v>
      </c>
      <c r="D7" s="32">
        <f t="shared" si="1"/>
        <v>397.07181818181817</v>
      </c>
      <c r="E7" s="14">
        <v>24222.21</v>
      </c>
      <c r="F7" s="32">
        <f t="shared" si="2"/>
        <v>22020.190909090907</v>
      </c>
      <c r="G7" s="32">
        <f t="shared" si="3"/>
        <v>2202.0190909090907</v>
      </c>
      <c r="H7" s="14">
        <v>5370</v>
      </c>
      <c r="I7" s="14">
        <f>23220-1285</f>
        <v>21935</v>
      </c>
      <c r="J7" s="14">
        <v>1285</v>
      </c>
      <c r="K7" s="17">
        <v>375</v>
      </c>
      <c r="L7" s="33">
        <v>0</v>
      </c>
      <c r="M7" s="17">
        <v>820</v>
      </c>
      <c r="N7" s="33">
        <v>0</v>
      </c>
    </row>
    <row r="8" spans="1:14" x14ac:dyDescent="0.3">
      <c r="A8" s="31">
        <v>45906</v>
      </c>
      <c r="B8" s="14">
        <v>4390</v>
      </c>
      <c r="C8" s="32">
        <f t="shared" si="0"/>
        <v>3990.9090909090905</v>
      </c>
      <c r="D8" s="32">
        <f t="shared" si="1"/>
        <v>399.09090909090907</v>
      </c>
      <c r="E8" s="14">
        <v>31662.5</v>
      </c>
      <c r="F8" s="32">
        <f t="shared" si="2"/>
        <v>28784.090909090908</v>
      </c>
      <c r="G8" s="32">
        <f t="shared" si="3"/>
        <v>2878.409090909091</v>
      </c>
      <c r="H8" s="14">
        <v>6090</v>
      </c>
      <c r="I8" s="14">
        <f>29962.5-670</f>
        <v>29292.5</v>
      </c>
      <c r="J8" s="14">
        <v>670</v>
      </c>
      <c r="K8" s="17">
        <v>300</v>
      </c>
      <c r="L8" s="17">
        <v>190</v>
      </c>
      <c r="M8" s="17">
        <v>205</v>
      </c>
      <c r="N8" s="33">
        <v>0</v>
      </c>
    </row>
    <row r="9" spans="1:14" x14ac:dyDescent="0.3">
      <c r="A9" s="31">
        <v>45907</v>
      </c>
      <c r="B9" s="14">
        <v>4235</v>
      </c>
      <c r="C9" s="32">
        <f t="shared" si="0"/>
        <v>3849.9999999999995</v>
      </c>
      <c r="D9" s="32">
        <f t="shared" si="1"/>
        <v>385</v>
      </c>
      <c r="E9" s="14">
        <v>25300</v>
      </c>
      <c r="F9" s="32">
        <f t="shared" si="2"/>
        <v>22999.999999999996</v>
      </c>
      <c r="G9" s="32">
        <f t="shared" si="3"/>
        <v>2299.9999999999995</v>
      </c>
      <c r="H9" s="14">
        <v>4710</v>
      </c>
      <c r="I9" s="14">
        <f>24825-1095</f>
        <v>23730</v>
      </c>
      <c r="J9" s="14">
        <v>1095</v>
      </c>
      <c r="K9" s="33">
        <v>0</v>
      </c>
      <c r="L9" s="33">
        <v>0</v>
      </c>
      <c r="M9" s="17">
        <v>495</v>
      </c>
      <c r="N9" s="33">
        <v>0</v>
      </c>
    </row>
    <row r="10" spans="1:14" x14ac:dyDescent="0.3">
      <c r="A10" s="31">
        <v>45908</v>
      </c>
      <c r="B10" s="14">
        <v>3157.5</v>
      </c>
      <c r="C10" s="32">
        <f t="shared" si="0"/>
        <v>2870.454545454545</v>
      </c>
      <c r="D10" s="32">
        <f t="shared" si="1"/>
        <v>287.0454545454545</v>
      </c>
      <c r="E10" s="14">
        <v>23955</v>
      </c>
      <c r="F10" s="32">
        <f t="shared" si="2"/>
        <v>21777.272727272724</v>
      </c>
      <c r="G10" s="32">
        <f t="shared" si="3"/>
        <v>2177.7272727272725</v>
      </c>
      <c r="H10" s="14">
        <v>4320</v>
      </c>
      <c r="I10" s="14">
        <f>22792.5-2130</f>
        <v>20662.5</v>
      </c>
      <c r="J10" s="14">
        <v>2130</v>
      </c>
      <c r="K10" s="33">
        <v>0</v>
      </c>
      <c r="L10" s="17">
        <v>100</v>
      </c>
      <c r="M10" s="33">
        <v>0</v>
      </c>
      <c r="N10" s="33">
        <v>0</v>
      </c>
    </row>
    <row r="11" spans="1:14" x14ac:dyDescent="0.3">
      <c r="A11" s="31">
        <v>45909</v>
      </c>
      <c r="B11" s="14">
        <v>4832.5</v>
      </c>
      <c r="C11" s="32">
        <f t="shared" si="0"/>
        <v>4393.181818181818</v>
      </c>
      <c r="D11" s="32">
        <f t="shared" si="1"/>
        <v>439.31818181818181</v>
      </c>
      <c r="E11" s="14">
        <v>26370</v>
      </c>
      <c r="F11" s="32">
        <f t="shared" si="2"/>
        <v>23972.727272727272</v>
      </c>
      <c r="G11" s="32">
        <f t="shared" si="3"/>
        <v>2397.2727272727275</v>
      </c>
      <c r="H11" s="14">
        <v>6282.5</v>
      </c>
      <c r="I11" s="14">
        <f>24920-1675</f>
        <v>23245</v>
      </c>
      <c r="J11" s="14">
        <v>1675</v>
      </c>
      <c r="K11" s="17">
        <v>125</v>
      </c>
      <c r="L11" s="33">
        <v>0</v>
      </c>
      <c r="M11" s="17">
        <v>270</v>
      </c>
      <c r="N11" s="33">
        <v>0</v>
      </c>
    </row>
    <row r="12" spans="1:14" x14ac:dyDescent="0.3">
      <c r="A12" s="31">
        <v>45910</v>
      </c>
      <c r="B12" s="14">
        <v>4470</v>
      </c>
      <c r="C12" s="32">
        <f t="shared" si="0"/>
        <v>4063.6363636363635</v>
      </c>
      <c r="D12" s="32">
        <f t="shared" si="1"/>
        <v>406.36363636363637</v>
      </c>
      <c r="E12" s="14">
        <v>29513</v>
      </c>
      <c r="F12" s="32">
        <f t="shared" si="2"/>
        <v>26829.999999999996</v>
      </c>
      <c r="G12" s="32">
        <f t="shared" si="3"/>
        <v>2683</v>
      </c>
      <c r="H12" s="14">
        <v>4362.5</v>
      </c>
      <c r="I12" s="14">
        <f>29285.5-980</f>
        <v>28305.5</v>
      </c>
      <c r="J12" s="14">
        <v>980</v>
      </c>
      <c r="K12" s="17">
        <v>235</v>
      </c>
      <c r="L12" s="17">
        <v>75</v>
      </c>
      <c r="M12" s="33">
        <v>0</v>
      </c>
      <c r="N12" s="17">
        <v>335</v>
      </c>
    </row>
    <row r="13" spans="1:14" x14ac:dyDescent="0.3">
      <c r="A13" s="31">
        <v>45911</v>
      </c>
      <c r="B13" s="14">
        <v>2895</v>
      </c>
      <c r="C13" s="32">
        <f t="shared" si="0"/>
        <v>2631.8181818181815</v>
      </c>
      <c r="D13" s="32">
        <f t="shared" si="1"/>
        <v>263.18181818181819</v>
      </c>
      <c r="E13" s="14">
        <v>23477.5</v>
      </c>
      <c r="F13" s="32">
        <f t="shared" si="2"/>
        <v>21343.181818181816</v>
      </c>
      <c r="G13" s="32">
        <f t="shared" si="3"/>
        <v>2134.3181818181815</v>
      </c>
      <c r="H13" s="14">
        <v>4982.5</v>
      </c>
      <c r="I13" s="14">
        <f>21390-1150</f>
        <v>20240</v>
      </c>
      <c r="J13" s="14">
        <v>1150</v>
      </c>
      <c r="K13" s="17">
        <v>610</v>
      </c>
      <c r="L13" s="33">
        <v>0</v>
      </c>
      <c r="M13" s="17">
        <v>225</v>
      </c>
      <c r="N13" s="33">
        <v>0</v>
      </c>
    </row>
    <row r="14" spans="1:14" x14ac:dyDescent="0.3">
      <c r="A14" s="31">
        <v>45912</v>
      </c>
      <c r="B14" s="14">
        <v>4998.72</v>
      </c>
      <c r="C14" s="32">
        <f t="shared" si="0"/>
        <v>4544.2909090909088</v>
      </c>
      <c r="D14" s="32">
        <f t="shared" si="1"/>
        <v>454.42909090909092</v>
      </c>
      <c r="E14" s="14">
        <v>23618.78</v>
      </c>
      <c r="F14" s="32">
        <f t="shared" si="2"/>
        <v>21471.618181818179</v>
      </c>
      <c r="G14" s="32">
        <f t="shared" si="3"/>
        <v>2147.161818181818</v>
      </c>
      <c r="H14" s="14">
        <v>5030</v>
      </c>
      <c r="I14" s="14">
        <f>22942.5-760</f>
        <v>22182.5</v>
      </c>
      <c r="J14" s="14">
        <v>760</v>
      </c>
      <c r="K14" s="17">
        <v>600</v>
      </c>
      <c r="L14" s="17">
        <v>130</v>
      </c>
      <c r="M14" s="17">
        <v>555</v>
      </c>
      <c r="N14" s="17">
        <v>645</v>
      </c>
    </row>
    <row r="15" spans="1:14" x14ac:dyDescent="0.3">
      <c r="A15" s="31">
        <v>45913</v>
      </c>
      <c r="B15" s="14">
        <v>5192.91</v>
      </c>
      <c r="C15" s="32">
        <f t="shared" si="0"/>
        <v>4720.8272727272724</v>
      </c>
      <c r="D15" s="32">
        <f t="shared" si="1"/>
        <v>472.08272727272725</v>
      </c>
      <c r="E15" s="14">
        <v>33019.589999999997</v>
      </c>
      <c r="F15" s="32">
        <f t="shared" si="2"/>
        <v>30017.809090909086</v>
      </c>
      <c r="G15" s="32">
        <f t="shared" si="3"/>
        <v>3001.7809090909086</v>
      </c>
      <c r="H15" s="14">
        <v>7935</v>
      </c>
      <c r="I15" s="14">
        <f>29857.5-1275</f>
        <v>28582.5</v>
      </c>
      <c r="J15" s="14">
        <v>1275</v>
      </c>
      <c r="K15" s="33">
        <v>0</v>
      </c>
      <c r="L15" s="17">
        <v>165</v>
      </c>
      <c r="M15" s="17">
        <v>1010</v>
      </c>
      <c r="N15" s="17">
        <v>420</v>
      </c>
    </row>
    <row r="16" spans="1:14" x14ac:dyDescent="0.3">
      <c r="A16" s="31">
        <v>45914</v>
      </c>
      <c r="B16" s="14">
        <v>4132.5</v>
      </c>
      <c r="C16" s="32">
        <f t="shared" si="0"/>
        <v>3756.8181818181815</v>
      </c>
      <c r="D16" s="32">
        <f t="shared" si="1"/>
        <v>375.68181818181819</v>
      </c>
      <c r="E16" s="14">
        <v>28983</v>
      </c>
      <c r="F16" s="32">
        <f t="shared" si="2"/>
        <v>26348.181818181816</v>
      </c>
      <c r="G16" s="32">
        <f t="shared" si="3"/>
        <v>2634.818181818182</v>
      </c>
      <c r="H16" s="14">
        <v>7482</v>
      </c>
      <c r="I16" s="14">
        <f>25633.5-1505</f>
        <v>24128.5</v>
      </c>
      <c r="J16" s="14">
        <v>1505</v>
      </c>
      <c r="K16" s="17">
        <v>245</v>
      </c>
      <c r="L16" s="17">
        <v>135</v>
      </c>
      <c r="M16" s="17">
        <v>195</v>
      </c>
      <c r="N16" s="33">
        <v>0</v>
      </c>
    </row>
    <row r="17" spans="1:14" x14ac:dyDescent="0.3">
      <c r="A17" s="31">
        <v>45915</v>
      </c>
      <c r="B17" s="14">
        <v>4077.5</v>
      </c>
      <c r="C17" s="32">
        <f t="shared" si="0"/>
        <v>3706.8181818181815</v>
      </c>
      <c r="D17" s="32">
        <f t="shared" si="1"/>
        <v>370.68181818181819</v>
      </c>
      <c r="E17" s="14">
        <v>22522.5</v>
      </c>
      <c r="F17" s="32">
        <f t="shared" si="2"/>
        <v>20475</v>
      </c>
      <c r="G17" s="32">
        <f t="shared" si="3"/>
        <v>2047.5</v>
      </c>
      <c r="H17" s="14">
        <v>3327.5</v>
      </c>
      <c r="I17" s="14">
        <f>23067.5-1820</f>
        <v>21247.5</v>
      </c>
      <c r="J17" s="14">
        <v>1820</v>
      </c>
      <c r="K17" s="33">
        <v>0</v>
      </c>
      <c r="L17" s="17">
        <v>345</v>
      </c>
      <c r="M17" s="17">
        <v>345</v>
      </c>
      <c r="N17" s="17">
        <v>205</v>
      </c>
    </row>
    <row r="18" spans="1:14" x14ac:dyDescent="0.3">
      <c r="A18" s="31">
        <v>45916</v>
      </c>
      <c r="B18" s="14">
        <v>7217.92</v>
      </c>
      <c r="C18" s="32">
        <f t="shared" si="0"/>
        <v>6561.7454545454539</v>
      </c>
      <c r="D18" s="32">
        <f t="shared" si="1"/>
        <v>656.17454545454541</v>
      </c>
      <c r="E18" s="14">
        <v>25857.08</v>
      </c>
      <c r="F18" s="32">
        <f t="shared" si="2"/>
        <v>23506.436363636363</v>
      </c>
      <c r="G18" s="32">
        <f t="shared" si="3"/>
        <v>2350.6436363636362</v>
      </c>
      <c r="H18" s="14">
        <v>9127.5</v>
      </c>
      <c r="I18" s="14">
        <f>23947.5-1410</f>
        <v>22537.5</v>
      </c>
      <c r="J18" s="14">
        <v>1410</v>
      </c>
      <c r="K18" s="17">
        <v>180</v>
      </c>
      <c r="L18" s="17">
        <v>305</v>
      </c>
      <c r="M18" s="33">
        <v>0</v>
      </c>
      <c r="N18" s="33">
        <v>0</v>
      </c>
    </row>
    <row r="19" spans="1:14" x14ac:dyDescent="0.3">
      <c r="A19" s="31">
        <v>45917</v>
      </c>
      <c r="B19" s="14">
        <v>3727.5</v>
      </c>
      <c r="C19" s="32">
        <f t="shared" si="0"/>
        <v>3388.6363636363635</v>
      </c>
      <c r="D19" s="32">
        <f t="shared" si="1"/>
        <v>338.86363636363637</v>
      </c>
      <c r="E19" s="14">
        <v>20797.5</v>
      </c>
      <c r="F19" s="32">
        <f t="shared" si="2"/>
        <v>18906.81818181818</v>
      </c>
      <c r="G19" s="32">
        <f t="shared" si="3"/>
        <v>1890.681818181818</v>
      </c>
      <c r="H19" s="14">
        <v>4725</v>
      </c>
      <c r="I19" s="14">
        <f>19500-545</f>
        <v>18955</v>
      </c>
      <c r="J19" s="14">
        <v>545</v>
      </c>
      <c r="K19" s="33">
        <v>0</v>
      </c>
      <c r="L19" s="33">
        <v>0</v>
      </c>
      <c r="M19" s="17">
        <v>295</v>
      </c>
      <c r="N19" s="17">
        <v>300</v>
      </c>
    </row>
    <row r="20" spans="1:14" x14ac:dyDescent="0.3">
      <c r="A20" s="31">
        <v>45918</v>
      </c>
      <c r="B20" s="14">
        <v>3742.5</v>
      </c>
      <c r="C20" s="32">
        <f t="shared" si="0"/>
        <v>3402.272727272727</v>
      </c>
      <c r="D20" s="32">
        <f t="shared" si="1"/>
        <v>340.22727272727275</v>
      </c>
      <c r="E20" s="14">
        <v>21870</v>
      </c>
      <c r="F20" s="32">
        <f t="shared" si="2"/>
        <v>19881.81818181818</v>
      </c>
      <c r="G20" s="32">
        <f t="shared" si="3"/>
        <v>1988.181818181818</v>
      </c>
      <c r="H20" s="14">
        <v>4615</v>
      </c>
      <c r="I20" s="14">
        <f>20997.5-905</f>
        <v>20092.5</v>
      </c>
      <c r="J20" s="14">
        <v>905</v>
      </c>
      <c r="K20" s="17">
        <v>290</v>
      </c>
      <c r="L20" s="33">
        <v>0</v>
      </c>
      <c r="M20" s="17">
        <v>725</v>
      </c>
      <c r="N20" s="33">
        <v>0</v>
      </c>
    </row>
    <row r="21" spans="1:14" x14ac:dyDescent="0.3">
      <c r="A21" s="31">
        <v>45919</v>
      </c>
      <c r="B21" s="14">
        <v>4562.5</v>
      </c>
      <c r="C21" s="32">
        <f t="shared" si="0"/>
        <v>4147.7272727272721</v>
      </c>
      <c r="D21" s="32">
        <f t="shared" si="1"/>
        <v>414.77272727272725</v>
      </c>
      <c r="E21" s="14">
        <v>24797.5</v>
      </c>
      <c r="F21" s="32">
        <f t="shared" si="2"/>
        <v>22543.181818181816</v>
      </c>
      <c r="G21" s="32">
        <f t="shared" si="3"/>
        <v>2254.3181818181815</v>
      </c>
      <c r="H21" s="14">
        <v>5590</v>
      </c>
      <c r="I21" s="14">
        <f>23770-1135</f>
        <v>22635</v>
      </c>
      <c r="J21" s="14">
        <v>1135</v>
      </c>
      <c r="K21" s="17">
        <v>605</v>
      </c>
      <c r="L21" s="17">
        <v>170</v>
      </c>
      <c r="M21" s="17">
        <v>720</v>
      </c>
      <c r="N21" s="33">
        <v>0</v>
      </c>
    </row>
    <row r="22" spans="1:14" x14ac:dyDescent="0.3">
      <c r="A22" s="31">
        <v>45920</v>
      </c>
      <c r="B22" s="14">
        <v>6194.5</v>
      </c>
      <c r="C22" s="32">
        <f t="shared" si="0"/>
        <v>5631.363636363636</v>
      </c>
      <c r="D22" s="32">
        <f t="shared" si="1"/>
        <v>563.13636363636363</v>
      </c>
      <c r="E22" s="14">
        <v>33155</v>
      </c>
      <c r="F22" s="32">
        <f t="shared" si="2"/>
        <v>30140.909090909088</v>
      </c>
      <c r="G22" s="32">
        <f t="shared" si="3"/>
        <v>3014.090909090909</v>
      </c>
      <c r="H22" s="14">
        <v>7249.5</v>
      </c>
      <c r="I22" s="14">
        <f>32100-1185</f>
        <v>30915</v>
      </c>
      <c r="J22" s="14">
        <v>1185</v>
      </c>
      <c r="K22" s="33">
        <v>0</v>
      </c>
      <c r="L22" s="17">
        <v>1225</v>
      </c>
      <c r="M22" s="33">
        <v>0</v>
      </c>
      <c r="N22" s="33">
        <v>0</v>
      </c>
    </row>
    <row r="23" spans="1:14" x14ac:dyDescent="0.3">
      <c r="A23" s="31">
        <v>45921</v>
      </c>
      <c r="B23" s="14">
        <v>3950</v>
      </c>
      <c r="C23" s="32">
        <f t="shared" si="0"/>
        <v>3590.9090909090905</v>
      </c>
      <c r="D23" s="32">
        <f t="shared" si="1"/>
        <v>359.09090909090907</v>
      </c>
      <c r="E23" s="14">
        <v>26545</v>
      </c>
      <c r="F23" s="32">
        <f t="shared" si="2"/>
        <v>24131.81818181818</v>
      </c>
      <c r="G23" s="32">
        <f t="shared" si="3"/>
        <v>2413.181818181818</v>
      </c>
      <c r="H23" s="14">
        <v>4242.5</v>
      </c>
      <c r="I23" s="14">
        <f>26252.5-1950</f>
        <v>24302.5</v>
      </c>
      <c r="J23" s="14">
        <v>1950</v>
      </c>
      <c r="K23" s="17">
        <v>435</v>
      </c>
      <c r="L23" s="33">
        <v>0</v>
      </c>
      <c r="M23" s="33">
        <v>0</v>
      </c>
      <c r="N23" s="33">
        <v>0</v>
      </c>
    </row>
    <row r="24" spans="1:14" x14ac:dyDescent="0.3">
      <c r="A24" s="31">
        <v>45922</v>
      </c>
      <c r="B24" s="14">
        <v>3591.15</v>
      </c>
      <c r="C24" s="32">
        <f t="shared" si="0"/>
        <v>3264.681818181818</v>
      </c>
      <c r="D24" s="32">
        <f t="shared" si="1"/>
        <v>326.46818181818185</v>
      </c>
      <c r="E24" s="14">
        <v>25888.85</v>
      </c>
      <c r="F24" s="32">
        <f t="shared" si="2"/>
        <v>23535.31818181818</v>
      </c>
      <c r="G24" s="32">
        <f t="shared" si="3"/>
        <v>2353.5318181818179</v>
      </c>
      <c r="H24" s="14">
        <v>5217.5</v>
      </c>
      <c r="I24" s="14">
        <f>24262.5-900</f>
        <v>23362.5</v>
      </c>
      <c r="J24" s="14">
        <v>900</v>
      </c>
      <c r="K24" s="33">
        <v>0</v>
      </c>
      <c r="L24" s="33">
        <v>0</v>
      </c>
      <c r="M24" s="17">
        <v>665</v>
      </c>
      <c r="N24" s="33">
        <v>0</v>
      </c>
    </row>
    <row r="25" spans="1:14" x14ac:dyDescent="0.3">
      <c r="A25" s="31">
        <v>45923</v>
      </c>
      <c r="B25" s="14">
        <v>4241.5</v>
      </c>
      <c r="C25" s="32">
        <f t="shared" si="0"/>
        <v>3855.9090909090905</v>
      </c>
      <c r="D25" s="32">
        <f t="shared" si="1"/>
        <v>385.59090909090907</v>
      </c>
      <c r="E25" s="14">
        <v>25838</v>
      </c>
      <c r="F25" s="32">
        <f t="shared" si="2"/>
        <v>23489.090909090908</v>
      </c>
      <c r="G25" s="32">
        <f t="shared" si="3"/>
        <v>2348.909090909091</v>
      </c>
      <c r="H25" s="14">
        <v>6390</v>
      </c>
      <c r="I25" s="14">
        <f>23689.5-1340</f>
        <v>22349.5</v>
      </c>
      <c r="J25" s="14">
        <v>1340</v>
      </c>
      <c r="K25" s="33">
        <v>0</v>
      </c>
      <c r="L25" s="33">
        <v>0</v>
      </c>
      <c r="M25" s="17">
        <v>205</v>
      </c>
      <c r="N25" s="33">
        <v>0</v>
      </c>
    </row>
    <row r="26" spans="1:14" x14ac:dyDescent="0.3">
      <c r="A26" s="31">
        <v>45924</v>
      </c>
      <c r="B26" s="14">
        <v>5635</v>
      </c>
      <c r="C26" s="32">
        <f t="shared" si="0"/>
        <v>5122.7272727272721</v>
      </c>
      <c r="D26" s="32">
        <f t="shared" si="1"/>
        <v>512.27272727272725</v>
      </c>
      <c r="E26" s="14">
        <v>23535</v>
      </c>
      <c r="F26" s="32">
        <f t="shared" si="2"/>
        <v>21395.454545454544</v>
      </c>
      <c r="G26" s="32">
        <f t="shared" si="3"/>
        <v>2139.5454545454545</v>
      </c>
      <c r="H26" s="14">
        <v>3465</v>
      </c>
      <c r="I26" s="14">
        <f>25705-1150</f>
        <v>24555</v>
      </c>
      <c r="J26" s="14">
        <v>1150</v>
      </c>
      <c r="K26" s="17">
        <v>190</v>
      </c>
      <c r="L26" s="33">
        <v>0</v>
      </c>
      <c r="M26" s="33">
        <v>0</v>
      </c>
      <c r="N26" s="33">
        <v>0</v>
      </c>
    </row>
    <row r="27" spans="1:14" x14ac:dyDescent="0.3">
      <c r="A27" s="31">
        <v>45925</v>
      </c>
      <c r="B27" s="14">
        <v>3272.5</v>
      </c>
      <c r="C27" s="32">
        <f t="shared" si="0"/>
        <v>2974.9999999999995</v>
      </c>
      <c r="D27" s="32">
        <f t="shared" si="1"/>
        <v>297.49999999999994</v>
      </c>
      <c r="E27" s="14">
        <v>21167.5</v>
      </c>
      <c r="F27" s="32">
        <f t="shared" si="2"/>
        <v>19243.181818181816</v>
      </c>
      <c r="G27" s="32">
        <f t="shared" si="3"/>
        <v>1924.3181818181818</v>
      </c>
      <c r="H27" s="14">
        <v>5655</v>
      </c>
      <c r="I27" s="14">
        <f>18785-1125</f>
        <v>17660</v>
      </c>
      <c r="J27" s="14">
        <v>1125</v>
      </c>
      <c r="K27" s="17">
        <v>430</v>
      </c>
      <c r="L27" s="17">
        <v>200</v>
      </c>
      <c r="M27" s="17">
        <v>455</v>
      </c>
      <c r="N27" s="33">
        <v>0</v>
      </c>
    </row>
    <row r="28" spans="1:14" x14ac:dyDescent="0.3">
      <c r="A28" s="31">
        <v>45926</v>
      </c>
      <c r="B28" s="14">
        <v>6305</v>
      </c>
      <c r="C28" s="32">
        <f t="shared" si="0"/>
        <v>5731.8181818181811</v>
      </c>
      <c r="D28" s="32">
        <f t="shared" si="1"/>
        <v>573.18181818181813</v>
      </c>
      <c r="E28" s="14">
        <v>21752.5</v>
      </c>
      <c r="F28" s="32">
        <f t="shared" si="2"/>
        <v>19775</v>
      </c>
      <c r="G28" s="32">
        <f t="shared" si="3"/>
        <v>1977.5</v>
      </c>
      <c r="H28" s="14">
        <v>6827.5</v>
      </c>
      <c r="I28" s="14">
        <f>20865-2297.5</f>
        <v>18567.5</v>
      </c>
      <c r="J28" s="14">
        <v>2297.5</v>
      </c>
      <c r="K28" s="17">
        <v>435</v>
      </c>
      <c r="L28" s="17">
        <v>855</v>
      </c>
      <c r="M28" s="33">
        <v>0</v>
      </c>
      <c r="N28" s="17">
        <v>365</v>
      </c>
    </row>
    <row r="29" spans="1:14" x14ac:dyDescent="0.3">
      <c r="A29" s="31">
        <v>45927</v>
      </c>
      <c r="B29" s="14">
        <v>4180</v>
      </c>
      <c r="C29" s="32">
        <f t="shared" si="0"/>
        <v>3799.9999999999995</v>
      </c>
      <c r="D29" s="32">
        <f t="shared" si="1"/>
        <v>380</v>
      </c>
      <c r="E29" s="14">
        <v>29765</v>
      </c>
      <c r="F29" s="32">
        <f t="shared" si="2"/>
        <v>27059.090909090908</v>
      </c>
      <c r="G29" s="32">
        <f t="shared" si="3"/>
        <v>2705.909090909091</v>
      </c>
      <c r="H29" s="14">
        <v>7145</v>
      </c>
      <c r="I29" s="14">
        <f>26800-450</f>
        <v>26350</v>
      </c>
      <c r="J29" s="14">
        <v>450</v>
      </c>
      <c r="K29" s="17">
        <v>435</v>
      </c>
      <c r="L29" s="33">
        <v>0</v>
      </c>
      <c r="M29" s="33">
        <v>0</v>
      </c>
      <c r="N29" s="33">
        <v>0</v>
      </c>
    </row>
    <row r="30" spans="1:14" x14ac:dyDescent="0.3">
      <c r="A30" s="31">
        <v>45928</v>
      </c>
      <c r="B30" s="14">
        <v>2450</v>
      </c>
      <c r="C30" s="32">
        <f t="shared" si="0"/>
        <v>2227.272727272727</v>
      </c>
      <c r="D30" s="32">
        <f t="shared" si="1"/>
        <v>222.72727272727272</v>
      </c>
      <c r="E30" s="14">
        <v>30460</v>
      </c>
      <c r="F30" s="32">
        <f t="shared" si="2"/>
        <v>27690.909090909088</v>
      </c>
      <c r="G30" s="32">
        <f t="shared" si="3"/>
        <v>2769.090909090909</v>
      </c>
      <c r="H30" s="14">
        <v>3830</v>
      </c>
      <c r="I30" s="14">
        <f>29080-255</f>
        <v>28825</v>
      </c>
      <c r="J30" s="14">
        <v>255</v>
      </c>
      <c r="K30" s="17">
        <v>145</v>
      </c>
      <c r="L30" s="17">
        <v>430</v>
      </c>
      <c r="M30" s="33">
        <v>0</v>
      </c>
      <c r="N30" s="33">
        <v>0</v>
      </c>
    </row>
    <row r="31" spans="1:14" x14ac:dyDescent="0.3">
      <c r="A31" s="31">
        <v>45929</v>
      </c>
      <c r="B31" s="14">
        <v>1800</v>
      </c>
      <c r="C31" s="32">
        <f t="shared" si="0"/>
        <v>1636.3636363636363</v>
      </c>
      <c r="D31" s="32">
        <f t="shared" si="1"/>
        <v>163.63636363636363</v>
      </c>
      <c r="E31" s="14">
        <v>15022</v>
      </c>
      <c r="F31" s="32">
        <f t="shared" si="2"/>
        <v>13656.363636363636</v>
      </c>
      <c r="G31" s="32">
        <f t="shared" si="3"/>
        <v>1365.6363636363637</v>
      </c>
      <c r="H31" s="14">
        <v>2687.5</v>
      </c>
      <c r="I31" s="14">
        <f>13859.5-835</f>
        <v>13024.5</v>
      </c>
      <c r="J31" s="14">
        <v>835</v>
      </c>
      <c r="K31" s="33">
        <v>0</v>
      </c>
      <c r="L31" s="17">
        <v>285</v>
      </c>
      <c r="M31" s="33">
        <v>0</v>
      </c>
      <c r="N31" s="17">
        <v>275</v>
      </c>
    </row>
    <row r="32" spans="1:14" x14ac:dyDescent="0.3">
      <c r="A32" s="31">
        <v>45930</v>
      </c>
      <c r="B32" s="14">
        <v>5055</v>
      </c>
      <c r="C32" s="32">
        <f t="shared" si="0"/>
        <v>4595.454545454545</v>
      </c>
      <c r="D32" s="32">
        <f t="shared" si="1"/>
        <v>459.5454545454545</v>
      </c>
      <c r="E32" s="14">
        <v>21033</v>
      </c>
      <c r="F32" s="32">
        <f t="shared" si="2"/>
        <v>19120.909090909088</v>
      </c>
      <c r="G32" s="32">
        <f t="shared" si="3"/>
        <v>1912.090909090909</v>
      </c>
      <c r="H32" s="14">
        <v>5792.5</v>
      </c>
      <c r="I32" s="14">
        <f>20295.5-1090</f>
        <v>19205.5</v>
      </c>
      <c r="J32" s="14">
        <v>1090</v>
      </c>
      <c r="K32" s="33">
        <v>0</v>
      </c>
      <c r="L32" s="33">
        <v>0</v>
      </c>
      <c r="M32" s="17">
        <v>650</v>
      </c>
      <c r="N32" s="33">
        <v>0</v>
      </c>
    </row>
    <row r="33" spans="2:14" x14ac:dyDescent="0.3">
      <c r="B33" s="35">
        <f>SUM(B3:B32)</f>
        <v>132514.49</v>
      </c>
      <c r="C33" s="36">
        <f t="shared" si="0"/>
        <v>120467.71818181817</v>
      </c>
      <c r="D33" s="36">
        <f t="shared" ref="D33" si="4">C33*10/100</f>
        <v>12046.771818181816</v>
      </c>
      <c r="E33" s="35">
        <f>SUM(E3:E32)</f>
        <v>754165.50999999989</v>
      </c>
      <c r="F33" s="36">
        <f t="shared" si="2"/>
        <v>685605.00909090892</v>
      </c>
      <c r="G33" s="36">
        <f t="shared" ref="G33" si="5">F33*10/100</f>
        <v>68560.500909090886</v>
      </c>
      <c r="H33" s="35">
        <f t="shared" ref="H33:N33" si="6">SUM(H3:H32)</f>
        <v>171376.5</v>
      </c>
      <c r="I33" s="35">
        <f t="shared" si="6"/>
        <v>674691</v>
      </c>
      <c r="J33" s="37">
        <f t="shared" si="6"/>
        <v>36542.5</v>
      </c>
      <c r="K33" s="37">
        <f t="shared" si="6"/>
        <v>7550</v>
      </c>
      <c r="L33" s="37">
        <f t="shared" si="6"/>
        <v>4610</v>
      </c>
      <c r="M33" s="37">
        <f t="shared" si="6"/>
        <v>11080</v>
      </c>
      <c r="N33" s="37">
        <f t="shared" si="6"/>
        <v>4070</v>
      </c>
    </row>
    <row r="34" spans="2:14" x14ac:dyDescent="0.3">
      <c r="B34" s="38"/>
      <c r="C34" s="38"/>
      <c r="D34" s="38"/>
      <c r="E34" s="38"/>
      <c r="F34" s="38"/>
      <c r="G34" s="38"/>
      <c r="H34" s="38"/>
      <c r="I34" s="38"/>
      <c r="J34" s="38"/>
      <c r="K34" s="39"/>
      <c r="L34" s="39"/>
      <c r="M34" s="39"/>
      <c r="N34" s="39"/>
    </row>
    <row r="35" spans="2:14" x14ac:dyDescent="0.3">
      <c r="D35" s="38"/>
      <c r="I35" s="38"/>
    </row>
  </sheetData>
  <pageMargins left="0.7" right="0.7" top="0.75" bottom="0.75" header="0.3" footer="0.3"/>
  <pageSetup paperSize="9" orientation="portrait" r:id="rId1"/>
  <ignoredErrors>
    <ignoredError sqref="B33 E3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13</vt:i4>
      </vt:variant>
    </vt:vector>
  </HeadingPairs>
  <TitlesOfParts>
    <vt:vector size="13" baseType="lpstr">
      <vt:lpstr>OCAK</vt:lpstr>
      <vt:lpstr>ŞUBAT</vt:lpstr>
      <vt:lpstr>MART</vt:lpstr>
      <vt:lpstr>NİSAN</vt:lpstr>
      <vt:lpstr>MAYIS</vt:lpstr>
      <vt:lpstr>HAZİRAN</vt:lpstr>
      <vt:lpstr>TEMMUZ</vt:lpstr>
      <vt:lpstr>AĞUSTOS</vt:lpstr>
      <vt:lpstr>EYLÜL</vt:lpstr>
      <vt:lpstr>EKİM</vt:lpstr>
      <vt:lpstr>KASIM</vt:lpstr>
      <vt:lpstr>ARALIK</vt:lpstr>
      <vt:lpstr>Sayfa1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dcterms:created xsi:type="dcterms:W3CDTF">2023-03-28T06:21:12Z</dcterms:created>
  <dcterms:modified xsi:type="dcterms:W3CDTF">2026-01-04T21:58:25Z</dcterms:modified>
  <cp:category/>
  <cp:contentStatus/>
</cp:coreProperties>
</file>